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860" yWindow="-30" windowWidth="9135" windowHeight="10695" tabRatio="869" firstSheet="1" activeTab="1"/>
  </bookViews>
  <sheets>
    <sheet name="Afgang Tilgang" sheetId="1" state="hidden" r:id="rId1"/>
    <sheet name="Nyansættelse af medarbejder" sheetId="19" r:id="rId2"/>
    <sheet name="Ændring af medarbejders løn" sheetId="15" r:id="rId3"/>
    <sheet name="Timeløn" sheetId="18" state="hidden" r:id="rId4"/>
    <sheet name="Udgiftsberegning" sheetId="2" state="hidden" r:id="rId5"/>
    <sheet name="Puljebelastning" sheetId="12" state="hidden" r:id="rId6"/>
    <sheet name="Beregn tillæg" sheetId="17" r:id="rId7"/>
    <sheet name="lønninger" sheetId="4" state="hidden" r:id="rId8"/>
    <sheet name="SEM" sheetId="9" state="hidden" r:id="rId9"/>
    <sheet name="Diverse" sheetId="10" state="hidden" r:id="rId10"/>
    <sheet name="Vejledning" sheetId="5" r:id="rId11"/>
  </sheets>
  <definedNames>
    <definedName name="BeskGradNyLøn" localSheetId="1">'Nyansættelse af medarbejder'!$N$7</definedName>
    <definedName name="BeskGradNyLøn">'Ændring af medarbejders løn'!$N$7</definedName>
    <definedName name="BeskGradRåd1">'Afgang Tilgang'!$C$8</definedName>
    <definedName name="BeskGradRåd2">'Afgang Tilgang'!$C$70</definedName>
    <definedName name="BeskGradRåd2Time">Timeløn!$C$10</definedName>
    <definedName name="Dato1">Diverse!$B$2</definedName>
    <definedName name="Dato2">Diverse!$C$2</definedName>
    <definedName name="Dato3">Diverse!$D$2</definedName>
    <definedName name="Dato4">Diverse!$E$2</definedName>
    <definedName name="DatoLønind">Diverse!$B$3</definedName>
    <definedName name="DatoLønInd2">Diverse!$C$3</definedName>
    <definedName name="DatoLønindSund">Diverse!$B$10</definedName>
    <definedName name="DatoLønindSund2">Diverse!$C$10</definedName>
    <definedName name="DatoSund1">Diverse!$B$9</definedName>
    <definedName name="DatoSund2">Diverse!$C$9</definedName>
    <definedName name="DatoSund3">Diverse!$D$9</definedName>
    <definedName name="DatoSund4">Diverse!$E$9</definedName>
    <definedName name="FraTil">SEM!$A$109:$C$115</definedName>
    <definedName name="JNferiepenge">SEM!$A$83:$C$89</definedName>
    <definedName name="JNovergang">SEM!$A$70:$C$76</definedName>
    <definedName name="JNpension" localSheetId="1">SEM!#REF!</definedName>
    <definedName name="JNpension">SEM!#REF!</definedName>
    <definedName name="LønkodeNyLøn" localSheetId="1">'Nyansættelse af medarbejder'!$I$11</definedName>
    <definedName name="LønkodeNyLøn">'Ændring af medarbejders løn'!$I$10</definedName>
    <definedName name="LønkodeRåd1">'Afgang Tilgang'!$C$15</definedName>
    <definedName name="LønkodeRåd2">'Afgang Tilgang'!$C$77</definedName>
    <definedName name="LønkodeRåd2Time">Timeløn!$C$18</definedName>
    <definedName name="LønkodeTillæg">'Beregn tillæg'!$C$11</definedName>
    <definedName name="LønkodeUd">Udgiftsberegning!$D$15</definedName>
    <definedName name="LønPr">Diverse!$C$2</definedName>
    <definedName name="LønPrDato">Diverse!$B$2</definedName>
    <definedName name="LønPrStor">Diverse!$D$2</definedName>
    <definedName name="MaksBeløb">Diverse!$B$15</definedName>
    <definedName name="MaxPensionskodeAfgang">SEM!$D$121</definedName>
    <definedName name="MaxPensionskodeTilgang">SEM!$D$122</definedName>
    <definedName name="MaxPensionskodeTime">SEM!$D$123</definedName>
    <definedName name="MaxProcentForvPulje">SEM!$A$96:$C$102</definedName>
    <definedName name="NævnerNyLøn" localSheetId="1">'Nyansættelse af medarbejder'!#REF!</definedName>
    <definedName name="NævnerNyLøn">'Ændring af medarbejders løn'!#REF!</definedName>
    <definedName name="NævnerRåd1">'Afgang Tilgang'!$C$10</definedName>
    <definedName name="NævnerRåd2">'Afgang Tilgang'!$C$72</definedName>
    <definedName name="NævnerRåd2Time">Timeløn!$C$12</definedName>
    <definedName name="NævnerUd">Udgiftsberegning!$D$14</definedName>
    <definedName name="PctRegNiveau">Diverse!$B$6</definedName>
    <definedName name="PctRegNiveauSund">Diverse!$B$12</definedName>
    <definedName name="PctRegNyLøn" localSheetId="1">'Nyansættelse af medarbejder'!$M$12</definedName>
    <definedName name="PctRegNyLøn">'Ændring af medarbejders løn'!$M$11</definedName>
    <definedName name="PctRegRåd1">'Afgang Tilgang'!$L$15</definedName>
    <definedName name="PctRegRåd2">'Afgang Tilgang'!$L$77</definedName>
    <definedName name="PctregTillæg">'Beregn tillæg'!$L$11</definedName>
    <definedName name="PctRegTime">Timeløn!$L$18</definedName>
    <definedName name="PctRegUd">Udgiftsberegning!$L$15</definedName>
    <definedName name="PctRegUdDato">Udgiftsberegning!$L$16</definedName>
    <definedName name="Pensionsprocentafgang">'Afgang Tilgang'!$C$17</definedName>
    <definedName name="PensionsProcentNyLøn" localSheetId="1">'Nyansættelse af medarbejder'!$I$12</definedName>
    <definedName name="PensionsProcentNyLøn">'Ændring af medarbejders løn'!$I$11</definedName>
    <definedName name="PensionsProcentTilgang">'Afgang Tilgang'!$C$79</definedName>
    <definedName name="PensionsProcentTilgangTime">Timeløn!$C$20</definedName>
    <definedName name="PensionsprocentUdgift">Udgiftsberegning!$D$17</definedName>
    <definedName name="procentregulering">Diverse!$B$5</definedName>
    <definedName name="ProcentreguleringSund">Diverse!$B$11</definedName>
    <definedName name="Puljeår">Diverse!$B$4</definedName>
    <definedName name="StartkolonneAC1">lønninger!$G$6</definedName>
    <definedName name="StartkolonneAC2">lønninger!$J$6</definedName>
    <definedName name="StartkolonneKostfagl" localSheetId="1">lønninger!#REF!</definedName>
    <definedName name="StartkolonneKostfagl">lønninger!#REF!</definedName>
    <definedName name="StartkolonneNyLøn">SEM!$C$39</definedName>
    <definedName name="StartKolonneRåd1">SEM!$C$33</definedName>
    <definedName name="StartKolonneRåd2">SEM!$C$34</definedName>
    <definedName name="StartKolonneRåd2Time">SEM!$C$36</definedName>
    <definedName name="StartkolonneStandard">lønninger!$D$6</definedName>
    <definedName name="StartkolonneSundAlm">lønninger!$N$6</definedName>
    <definedName name="StartkolonneSundLeder">lønninger!$R$6</definedName>
    <definedName name="StartKolonneUdLøn">SEM!$C$38</definedName>
    <definedName name="TabelLøn">lønninger!$A$9:$S$66</definedName>
    <definedName name="TabelLønninger">lønninger!$A$9:$S$66</definedName>
    <definedName name="TabelLøntabel">SEM!$A$5:$D$11</definedName>
    <definedName name="TabelNettoløn">lønninger!$A$9:$D$64</definedName>
    <definedName name="tabeloverenskomstnr">Vejledning!$A$2:$B$49</definedName>
    <definedName name="TabelPctReg">SEM!$A$143:$C$149</definedName>
    <definedName name="TabelPensgivLøn">SEM!$A$17:$E$24</definedName>
    <definedName name="TabelPuljePension">SEM!$B$43:$D$49</definedName>
    <definedName name="TabelRammeforbrug">SEM!$A$130:$C$136</definedName>
    <definedName name="Tabelændringskode">SEM!$A$57:$D$63</definedName>
    <definedName name="TællerNyLøn" localSheetId="1">'Nyansættelse af medarbejder'!$I$7</definedName>
    <definedName name="TællerNyLøn">'Ændring af medarbejders løn'!$I$7</definedName>
    <definedName name="TællerRåd1">'Afgang Tilgang'!$C$9</definedName>
    <definedName name="TællerRåd2">'Afgang Tilgang'!$C$71</definedName>
    <definedName name="TællerRåd2Time">Timeløn!$C$11</definedName>
    <definedName name="TællerUd">Udgiftsberegning!$D$13</definedName>
    <definedName name="_xlnm.Print_Area" localSheetId="0">'Afgang Tilgang'!$A$1:$H$177</definedName>
    <definedName name="_xlnm.Print_Area" localSheetId="1">'Nyansættelse af medarbejder'!$A$1:$AA$65</definedName>
    <definedName name="_xlnm.Print_Area" localSheetId="5">Puljebelastning!$A:$S</definedName>
    <definedName name="_xlnm.Print_Area" localSheetId="3">Timeløn!$A$1:$I$66</definedName>
    <definedName name="_xlnm.Print_Area" localSheetId="2">'Ændring af medarbejders løn'!$A$1:$AA$147</definedName>
    <definedName name="_xlnm.Print_Titles" localSheetId="5">Puljebelastning!$13:$20</definedName>
    <definedName name="UdskrivLinie">Puljebelastning!$AW$18</definedName>
  </definedNames>
  <calcPr calcId="125725"/>
</workbook>
</file>

<file path=xl/calcChain.xml><?xml version="1.0" encoding="utf-8"?>
<calcChain xmlns="http://schemas.openxmlformats.org/spreadsheetml/2006/main">
  <c r="C11" i="10"/>
  <c r="C5"/>
  <c r="B9"/>
  <c r="C9" s="1"/>
  <c r="D9" s="1"/>
  <c r="J3" i="4"/>
  <c r="J4" s="1"/>
  <c r="M17" s="1"/>
  <c r="L17" s="1"/>
  <c r="I72" i="19"/>
  <c r="L72" s="1"/>
  <c r="I10" i="15"/>
  <c r="I82"/>
  <c r="M82" s="1"/>
  <c r="I77"/>
  <c r="P76" i="19"/>
  <c r="P86" i="15"/>
  <c r="I78"/>
  <c r="I79"/>
  <c r="AE50" i="19"/>
  <c r="AE47"/>
  <c r="AE45"/>
  <c r="AE42"/>
  <c r="AE41"/>
  <c r="AE37"/>
  <c r="AE34"/>
  <c r="AE31"/>
  <c r="AE29"/>
  <c r="AE27"/>
  <c r="AE26"/>
  <c r="AE24"/>
  <c r="AE21"/>
  <c r="AE18"/>
  <c r="AE15"/>
  <c r="AE13"/>
  <c r="AE11"/>
  <c r="AE7"/>
  <c r="AE4"/>
  <c r="AC50"/>
  <c r="AC47"/>
  <c r="AC45"/>
  <c r="AC42"/>
  <c r="AC29"/>
  <c r="AC31"/>
  <c r="AC41"/>
  <c r="AC37"/>
  <c r="AC40"/>
  <c r="AC39"/>
  <c r="AC34"/>
  <c r="AC27"/>
  <c r="AC26"/>
  <c r="AC24"/>
  <c r="AC21"/>
  <c r="AC18"/>
  <c r="AC15"/>
  <c r="AC13"/>
  <c r="AC11"/>
  <c r="AC11" i="15"/>
  <c r="AE4"/>
  <c r="I60"/>
  <c r="P15" i="19"/>
  <c r="AC39" i="15"/>
  <c r="AC37"/>
  <c r="AC34"/>
  <c r="AC32"/>
  <c r="AC30"/>
  <c r="AC28"/>
  <c r="AC26"/>
  <c r="AC24"/>
  <c r="AE7"/>
  <c r="AE55"/>
  <c r="AE60"/>
  <c r="AE52"/>
  <c r="AE50"/>
  <c r="AE48"/>
  <c r="AE43"/>
  <c r="AE41"/>
  <c r="AE39"/>
  <c r="AE37"/>
  <c r="AE34"/>
  <c r="AE32"/>
  <c r="AE30"/>
  <c r="AC60"/>
  <c r="AC55"/>
  <c r="AC52"/>
  <c r="AC50"/>
  <c r="AC48"/>
  <c r="AC43"/>
  <c r="AC41"/>
  <c r="AE28"/>
  <c r="AE26"/>
  <c r="AE24"/>
  <c r="AE22"/>
  <c r="AC22"/>
  <c r="AC19"/>
  <c r="AC17"/>
  <c r="AE19"/>
  <c r="AE17"/>
  <c r="AC15"/>
  <c r="AC13"/>
  <c r="AE15"/>
  <c r="AE13"/>
  <c r="AE11"/>
  <c r="P14"/>
  <c r="I11" i="19"/>
  <c r="M11" s="1"/>
  <c r="H3" i="4"/>
  <c r="H4" s="1"/>
  <c r="J122" i="19"/>
  <c r="I122"/>
  <c r="M76"/>
  <c r="L76"/>
  <c r="N71"/>
  <c r="J52"/>
  <c r="I52"/>
  <c r="M15"/>
  <c r="L15"/>
  <c r="N7"/>
  <c r="J132" i="15"/>
  <c r="I132"/>
  <c r="M86"/>
  <c r="L86"/>
  <c r="N80"/>
  <c r="N7"/>
  <c r="M14"/>
  <c r="L14"/>
  <c r="C41" i="1"/>
  <c r="C44" s="1"/>
  <c r="Q8" i="12"/>
  <c r="D62" i="4"/>
  <c r="D54"/>
  <c r="D46"/>
  <c r="D38"/>
  <c r="D30"/>
  <c r="D22"/>
  <c r="D14"/>
  <c r="C8" i="1"/>
  <c r="D13"/>
  <c r="B15"/>
  <c r="E21"/>
  <c r="F21"/>
  <c r="B39"/>
  <c r="D41"/>
  <c r="D44" s="1"/>
  <c r="D48" s="1"/>
  <c r="C69"/>
  <c r="C70"/>
  <c r="C73"/>
  <c r="C74"/>
  <c r="D75"/>
  <c r="B77"/>
  <c r="E85"/>
  <c r="F85"/>
  <c r="C102"/>
  <c r="K103"/>
  <c r="D102"/>
  <c r="D104"/>
  <c r="D46"/>
  <c r="B127"/>
  <c r="C134"/>
  <c r="C177" s="1"/>
  <c r="D134"/>
  <c r="D177"/>
  <c r="C2" i="10"/>
  <c r="A3" i="12"/>
  <c r="E2" i="10"/>
  <c r="B44" i="2" s="1"/>
  <c r="D6" i="4"/>
  <c r="G6"/>
  <c r="N6"/>
  <c r="C46" i="9"/>
  <c r="R6" i="4"/>
  <c r="B21" i="9"/>
  <c r="B10"/>
  <c r="D10" i="4"/>
  <c r="R10"/>
  <c r="D11"/>
  <c r="R11"/>
  <c r="D12"/>
  <c r="R12"/>
  <c r="D13"/>
  <c r="R13"/>
  <c r="R14"/>
  <c r="D15"/>
  <c r="R15"/>
  <c r="D16"/>
  <c r="R16"/>
  <c r="D17"/>
  <c r="R17"/>
  <c r="D18"/>
  <c r="R18"/>
  <c r="D19"/>
  <c r="R19"/>
  <c r="D20"/>
  <c r="N20"/>
  <c r="R20"/>
  <c r="D21"/>
  <c r="N21"/>
  <c r="R21"/>
  <c r="N22"/>
  <c r="R22"/>
  <c r="D23"/>
  <c r="N23"/>
  <c r="R23"/>
  <c r="D24"/>
  <c r="N24"/>
  <c r="R24"/>
  <c r="D25"/>
  <c r="N25"/>
  <c r="R25"/>
  <c r="D26"/>
  <c r="N26"/>
  <c r="R26"/>
  <c r="D27"/>
  <c r="N27"/>
  <c r="R27"/>
  <c r="D28"/>
  <c r="N28"/>
  <c r="R28"/>
  <c r="D29"/>
  <c r="N29"/>
  <c r="R29"/>
  <c r="N30"/>
  <c r="R30"/>
  <c r="D31"/>
  <c r="N31"/>
  <c r="R31"/>
  <c r="D32"/>
  <c r="N32"/>
  <c r="R32"/>
  <c r="D33"/>
  <c r="N33"/>
  <c r="R33"/>
  <c r="D34"/>
  <c r="N34"/>
  <c r="R34"/>
  <c r="D35"/>
  <c r="N35"/>
  <c r="R35"/>
  <c r="D36"/>
  <c r="N36"/>
  <c r="R36"/>
  <c r="D37"/>
  <c r="N37"/>
  <c r="R37"/>
  <c r="N38"/>
  <c r="R38"/>
  <c r="D39"/>
  <c r="N39"/>
  <c r="R39"/>
  <c r="D40"/>
  <c r="N40"/>
  <c r="R40"/>
  <c r="D41"/>
  <c r="N41"/>
  <c r="R41"/>
  <c r="D42"/>
  <c r="N42"/>
  <c r="R42"/>
  <c r="D43"/>
  <c r="N43"/>
  <c r="R43"/>
  <c r="D44"/>
  <c r="N44"/>
  <c r="R44"/>
  <c r="D45"/>
  <c r="N45"/>
  <c r="R45"/>
  <c r="N46"/>
  <c r="R46"/>
  <c r="D47"/>
  <c r="N47"/>
  <c r="R47"/>
  <c r="D48"/>
  <c r="N48"/>
  <c r="R48"/>
  <c r="D49"/>
  <c r="N49"/>
  <c r="R49"/>
  <c r="D50"/>
  <c r="N50"/>
  <c r="R50"/>
  <c r="D51"/>
  <c r="N51"/>
  <c r="R51"/>
  <c r="D52"/>
  <c r="N52"/>
  <c r="R52"/>
  <c r="D53"/>
  <c r="N53"/>
  <c r="R53"/>
  <c r="N54"/>
  <c r="R54"/>
  <c r="D55"/>
  <c r="N55"/>
  <c r="R55"/>
  <c r="D56"/>
  <c r="N56"/>
  <c r="R56"/>
  <c r="D57"/>
  <c r="N57"/>
  <c r="R57"/>
  <c r="D58"/>
  <c r="N58"/>
  <c r="R58"/>
  <c r="D59"/>
  <c r="N59"/>
  <c r="R59"/>
  <c r="D60"/>
  <c r="N60"/>
  <c r="R60"/>
  <c r="D61"/>
  <c r="N61"/>
  <c r="R61"/>
  <c r="N62"/>
  <c r="R62"/>
  <c r="D63"/>
  <c r="N63"/>
  <c r="R63"/>
  <c r="D64"/>
  <c r="N64"/>
  <c r="R64"/>
  <c r="D65"/>
  <c r="N65"/>
  <c r="R65"/>
  <c r="J60" i="15"/>
  <c r="A1" i="12"/>
  <c r="R1"/>
  <c r="Q5"/>
  <c r="R5"/>
  <c r="S5"/>
  <c r="R8"/>
  <c r="S8"/>
  <c r="N14"/>
  <c r="O14"/>
  <c r="P14"/>
  <c r="Q15"/>
  <c r="AS18" s="1"/>
  <c r="R15"/>
  <c r="AT18" s="1"/>
  <c r="S15"/>
  <c r="AU18" s="1"/>
  <c r="D21"/>
  <c r="V21"/>
  <c r="W21"/>
  <c r="X21"/>
  <c r="AW21"/>
  <c r="D22"/>
  <c r="U22"/>
  <c r="V22"/>
  <c r="W22"/>
  <c r="X22"/>
  <c r="AP22" s="1"/>
  <c r="AQ22"/>
  <c r="AW22"/>
  <c r="D23"/>
  <c r="V23"/>
  <c r="W23"/>
  <c r="X23"/>
  <c r="AW23"/>
  <c r="AW18" s="1"/>
  <c r="D24"/>
  <c r="U24"/>
  <c r="V24"/>
  <c r="W24"/>
  <c r="X24"/>
  <c r="AP24" s="1"/>
  <c r="AQ24"/>
  <c r="AW24"/>
  <c r="D25"/>
  <c r="V25"/>
  <c r="W25"/>
  <c r="X25"/>
  <c r="AW25"/>
  <c r="D26"/>
  <c r="U26"/>
  <c r="V26"/>
  <c r="W26"/>
  <c r="X26"/>
  <c r="AP26" s="1"/>
  <c r="AQ26"/>
  <c r="AW26"/>
  <c r="D27"/>
  <c r="V27"/>
  <c r="W27"/>
  <c r="X27"/>
  <c r="AW27"/>
  <c r="D28"/>
  <c r="U28"/>
  <c r="V28"/>
  <c r="W28"/>
  <c r="X28"/>
  <c r="AP28" s="1"/>
  <c r="AQ28"/>
  <c r="AW28"/>
  <c r="D29"/>
  <c r="V29"/>
  <c r="W29"/>
  <c r="X29"/>
  <c r="AW29"/>
  <c r="D30"/>
  <c r="U30"/>
  <c r="V30"/>
  <c r="W30"/>
  <c r="X30"/>
  <c r="AP30" s="1"/>
  <c r="AQ30"/>
  <c r="AW30"/>
  <c r="D31"/>
  <c r="V31"/>
  <c r="W31"/>
  <c r="X31"/>
  <c r="AW31"/>
  <c r="D32"/>
  <c r="U32"/>
  <c r="V32"/>
  <c r="W32"/>
  <c r="X32"/>
  <c r="AP32" s="1"/>
  <c r="AQ32"/>
  <c r="AW32"/>
  <c r="D33"/>
  <c r="V33"/>
  <c r="W33"/>
  <c r="X33"/>
  <c r="AW33"/>
  <c r="D34"/>
  <c r="U34"/>
  <c r="V34"/>
  <c r="W34"/>
  <c r="X34"/>
  <c r="AP34" s="1"/>
  <c r="AQ34"/>
  <c r="AW34"/>
  <c r="D35"/>
  <c r="V35"/>
  <c r="W35"/>
  <c r="X35"/>
  <c r="AW35"/>
  <c r="D36"/>
  <c r="U36"/>
  <c r="V36"/>
  <c r="W36"/>
  <c r="X36"/>
  <c r="AP36" s="1"/>
  <c r="AQ36"/>
  <c r="AW36"/>
  <c r="D37"/>
  <c r="V37"/>
  <c r="W37"/>
  <c r="X37"/>
  <c r="AW37"/>
  <c r="D38"/>
  <c r="U38"/>
  <c r="V38"/>
  <c r="W38"/>
  <c r="X38"/>
  <c r="AP38" s="1"/>
  <c r="AQ38"/>
  <c r="AW38"/>
  <c r="D39"/>
  <c r="V39"/>
  <c r="W39"/>
  <c r="X39"/>
  <c r="AW39"/>
  <c r="D40"/>
  <c r="U40"/>
  <c r="V40"/>
  <c r="W40"/>
  <c r="X40"/>
  <c r="AP40" s="1"/>
  <c r="AQ40"/>
  <c r="AW40"/>
  <c r="D41"/>
  <c r="V41"/>
  <c r="W41"/>
  <c r="X41"/>
  <c r="AW41"/>
  <c r="D42"/>
  <c r="U42"/>
  <c r="V42"/>
  <c r="W42"/>
  <c r="X42"/>
  <c r="AP42" s="1"/>
  <c r="AQ42"/>
  <c r="AW42"/>
  <c r="D43"/>
  <c r="V43"/>
  <c r="W43"/>
  <c r="X43"/>
  <c r="AW43"/>
  <c r="D44"/>
  <c r="U44"/>
  <c r="V44"/>
  <c r="W44"/>
  <c r="X44"/>
  <c r="AP44" s="1"/>
  <c r="AQ44"/>
  <c r="AW44"/>
  <c r="D45"/>
  <c r="V45"/>
  <c r="W45"/>
  <c r="X45"/>
  <c r="AW45"/>
  <c r="D46"/>
  <c r="U46"/>
  <c r="V46"/>
  <c r="W46"/>
  <c r="X46"/>
  <c r="AP46" s="1"/>
  <c r="AQ46"/>
  <c r="AW46"/>
  <c r="D47"/>
  <c r="V47"/>
  <c r="W47"/>
  <c r="X47"/>
  <c r="AW47"/>
  <c r="D48"/>
  <c r="U48"/>
  <c r="V48"/>
  <c r="W48"/>
  <c r="X48"/>
  <c r="AP48" s="1"/>
  <c r="AQ48"/>
  <c r="AW48"/>
  <c r="D49"/>
  <c r="V49"/>
  <c r="W49"/>
  <c r="X49"/>
  <c r="AW49"/>
  <c r="D50"/>
  <c r="U50"/>
  <c r="V50"/>
  <c r="W50"/>
  <c r="X50"/>
  <c r="AP50" s="1"/>
  <c r="AQ50"/>
  <c r="AW50"/>
  <c r="D51"/>
  <c r="V51"/>
  <c r="W51"/>
  <c r="X51"/>
  <c r="AW51"/>
  <c r="D52"/>
  <c r="U52"/>
  <c r="V52"/>
  <c r="W52"/>
  <c r="X52"/>
  <c r="AP52" s="1"/>
  <c r="AQ52"/>
  <c r="AW52"/>
  <c r="D53"/>
  <c r="V53"/>
  <c r="W53"/>
  <c r="X53"/>
  <c r="AW53"/>
  <c r="D54"/>
  <c r="U54"/>
  <c r="V54"/>
  <c r="W54"/>
  <c r="X54"/>
  <c r="AP54" s="1"/>
  <c r="AQ54"/>
  <c r="AW54"/>
  <c r="D55"/>
  <c r="V55"/>
  <c r="W55"/>
  <c r="X55"/>
  <c r="AW55"/>
  <c r="D56"/>
  <c r="U56"/>
  <c r="V56"/>
  <c r="W56"/>
  <c r="X56"/>
  <c r="AP56" s="1"/>
  <c r="AQ56"/>
  <c r="AW56"/>
  <c r="D57"/>
  <c r="V57"/>
  <c r="W57"/>
  <c r="X57"/>
  <c r="AW57"/>
  <c r="D58"/>
  <c r="U58"/>
  <c r="V58"/>
  <c r="W58"/>
  <c r="X58"/>
  <c r="AP58" s="1"/>
  <c r="AQ58"/>
  <c r="AW58"/>
  <c r="D59"/>
  <c r="V59"/>
  <c r="W59"/>
  <c r="X59"/>
  <c r="AW59"/>
  <c r="D60"/>
  <c r="U60"/>
  <c r="V60"/>
  <c r="W60"/>
  <c r="X60"/>
  <c r="AP60" s="1"/>
  <c r="AQ60"/>
  <c r="AW60"/>
  <c r="D61"/>
  <c r="V61"/>
  <c r="W61"/>
  <c r="X61"/>
  <c r="AW61"/>
  <c r="D62"/>
  <c r="U62"/>
  <c r="V62"/>
  <c r="W62"/>
  <c r="X62"/>
  <c r="AP62" s="1"/>
  <c r="AQ62"/>
  <c r="AW62"/>
  <c r="D63"/>
  <c r="V63"/>
  <c r="W63"/>
  <c r="X63"/>
  <c r="AW63"/>
  <c r="D64"/>
  <c r="U64"/>
  <c r="V64"/>
  <c r="W64"/>
  <c r="X64"/>
  <c r="AP64" s="1"/>
  <c r="AQ64"/>
  <c r="AW64"/>
  <c r="D65"/>
  <c r="V65"/>
  <c r="W65"/>
  <c r="X65"/>
  <c r="AW65"/>
  <c r="D66"/>
  <c r="U66"/>
  <c r="V66"/>
  <c r="W66"/>
  <c r="X66"/>
  <c r="AP66" s="1"/>
  <c r="AQ66"/>
  <c r="AW66"/>
  <c r="D67"/>
  <c r="V67"/>
  <c r="W67"/>
  <c r="X67"/>
  <c r="AW67"/>
  <c r="D68"/>
  <c r="U68"/>
  <c r="V68"/>
  <c r="W68"/>
  <c r="X68"/>
  <c r="AP68" s="1"/>
  <c r="AQ68"/>
  <c r="AW68"/>
  <c r="D69"/>
  <c r="V69"/>
  <c r="W69"/>
  <c r="X69"/>
  <c r="AW69"/>
  <c r="D70"/>
  <c r="U70"/>
  <c r="V70"/>
  <c r="W70"/>
  <c r="X70"/>
  <c r="AP70" s="1"/>
  <c r="AQ70"/>
  <c r="AW70"/>
  <c r="D71"/>
  <c r="V71"/>
  <c r="W71"/>
  <c r="X71"/>
  <c r="AW71"/>
  <c r="D72"/>
  <c r="U72"/>
  <c r="V72"/>
  <c r="W72"/>
  <c r="X72"/>
  <c r="AP72" s="1"/>
  <c r="AQ72"/>
  <c r="AW72"/>
  <c r="D73"/>
  <c r="V73"/>
  <c r="W73"/>
  <c r="X73"/>
  <c r="AW73"/>
  <c r="D74"/>
  <c r="U74"/>
  <c r="V74"/>
  <c r="W74"/>
  <c r="X74"/>
  <c r="AP74" s="1"/>
  <c r="AQ74"/>
  <c r="AW74"/>
  <c r="D75"/>
  <c r="V75"/>
  <c r="W75"/>
  <c r="X75"/>
  <c r="AW75"/>
  <c r="D76"/>
  <c r="U76"/>
  <c r="V76"/>
  <c r="W76"/>
  <c r="X76"/>
  <c r="AP76" s="1"/>
  <c r="AQ76"/>
  <c r="AW76"/>
  <c r="D77"/>
  <c r="V77"/>
  <c r="W77"/>
  <c r="X77"/>
  <c r="AW77"/>
  <c r="D78"/>
  <c r="U78"/>
  <c r="V78"/>
  <c r="W78"/>
  <c r="X78"/>
  <c r="AP78" s="1"/>
  <c r="AQ78"/>
  <c r="AW78"/>
  <c r="D79"/>
  <c r="V79"/>
  <c r="W79"/>
  <c r="X79"/>
  <c r="AW79"/>
  <c r="D80"/>
  <c r="U80"/>
  <c r="V80"/>
  <c r="W80"/>
  <c r="X80"/>
  <c r="AP80" s="1"/>
  <c r="AQ80"/>
  <c r="AW80"/>
  <c r="D81"/>
  <c r="V81"/>
  <c r="W81"/>
  <c r="X81"/>
  <c r="AW81"/>
  <c r="D82"/>
  <c r="U82"/>
  <c r="V82"/>
  <c r="W82"/>
  <c r="X82"/>
  <c r="AP82" s="1"/>
  <c r="AQ82"/>
  <c r="AW82"/>
  <c r="D83"/>
  <c r="V83"/>
  <c r="W83"/>
  <c r="X83"/>
  <c r="AW83"/>
  <c r="D84"/>
  <c r="U84"/>
  <c r="V84"/>
  <c r="W84"/>
  <c r="X84"/>
  <c r="AP84" s="1"/>
  <c r="AQ84"/>
  <c r="AW84"/>
  <c r="D85"/>
  <c r="V85"/>
  <c r="W85"/>
  <c r="X85"/>
  <c r="AW85"/>
  <c r="D86"/>
  <c r="U86"/>
  <c r="V86"/>
  <c r="W86"/>
  <c r="X86"/>
  <c r="AP86" s="1"/>
  <c r="AQ86"/>
  <c r="AW86"/>
  <c r="D87"/>
  <c r="V87"/>
  <c r="W87"/>
  <c r="X87"/>
  <c r="AW87"/>
  <c r="D88"/>
  <c r="U88"/>
  <c r="V88"/>
  <c r="W88"/>
  <c r="X88"/>
  <c r="AP88" s="1"/>
  <c r="AQ88"/>
  <c r="AW88"/>
  <c r="D89"/>
  <c r="V89"/>
  <c r="W89"/>
  <c r="X89"/>
  <c r="AW89"/>
  <c r="D90"/>
  <c r="U90"/>
  <c r="V90"/>
  <c r="W90"/>
  <c r="X90"/>
  <c r="AP90" s="1"/>
  <c r="AQ90"/>
  <c r="AW90"/>
  <c r="D91"/>
  <c r="V91"/>
  <c r="W91"/>
  <c r="X91"/>
  <c r="AW91"/>
  <c r="D92"/>
  <c r="U92"/>
  <c r="V92"/>
  <c r="W92"/>
  <c r="X92"/>
  <c r="AP92" s="1"/>
  <c r="AQ92"/>
  <c r="AW92"/>
  <c r="D93"/>
  <c r="V93"/>
  <c r="W93"/>
  <c r="X93"/>
  <c r="AW93"/>
  <c r="D94"/>
  <c r="U94"/>
  <c r="V94"/>
  <c r="W94"/>
  <c r="X94"/>
  <c r="AP94" s="1"/>
  <c r="AQ94"/>
  <c r="AW94"/>
  <c r="D95"/>
  <c r="V95"/>
  <c r="W95"/>
  <c r="X95"/>
  <c r="AW95"/>
  <c r="D96"/>
  <c r="U96"/>
  <c r="V96"/>
  <c r="W96"/>
  <c r="X96"/>
  <c r="AP96" s="1"/>
  <c r="AQ96"/>
  <c r="AW96"/>
  <c r="D97"/>
  <c r="V97"/>
  <c r="W97"/>
  <c r="X97"/>
  <c r="AW97"/>
  <c r="D98"/>
  <c r="U98"/>
  <c r="V98"/>
  <c r="W98"/>
  <c r="X98"/>
  <c r="AP98" s="1"/>
  <c r="AQ98"/>
  <c r="AW98"/>
  <c r="D99"/>
  <c r="V99"/>
  <c r="W99"/>
  <c r="X99"/>
  <c r="AW99"/>
  <c r="D100"/>
  <c r="U100"/>
  <c r="V100"/>
  <c r="W100"/>
  <c r="X100"/>
  <c r="AP100" s="1"/>
  <c r="AQ100"/>
  <c r="AW100"/>
  <c r="D101"/>
  <c r="V101"/>
  <c r="W101"/>
  <c r="X101"/>
  <c r="AW101"/>
  <c r="D102"/>
  <c r="U102"/>
  <c r="V102"/>
  <c r="W102"/>
  <c r="X102"/>
  <c r="AP102" s="1"/>
  <c r="AQ102"/>
  <c r="AW102"/>
  <c r="D103"/>
  <c r="V103"/>
  <c r="W103"/>
  <c r="X103"/>
  <c r="AW103"/>
  <c r="D104"/>
  <c r="U104"/>
  <c r="V104"/>
  <c r="W104"/>
  <c r="X104"/>
  <c r="AP104" s="1"/>
  <c r="AQ104"/>
  <c r="AW104"/>
  <c r="D105"/>
  <c r="V105"/>
  <c r="W105"/>
  <c r="X105"/>
  <c r="AW105"/>
  <c r="D106"/>
  <c r="U106"/>
  <c r="V106"/>
  <c r="W106"/>
  <c r="X106"/>
  <c r="AP106" s="1"/>
  <c r="AQ106"/>
  <c r="AW106"/>
  <c r="D107"/>
  <c r="V107"/>
  <c r="W107"/>
  <c r="X107"/>
  <c r="AW107"/>
  <c r="D108"/>
  <c r="U108"/>
  <c r="V108"/>
  <c r="W108"/>
  <c r="X108"/>
  <c r="AQ108"/>
  <c r="AW108"/>
  <c r="D109"/>
  <c r="V109"/>
  <c r="W109"/>
  <c r="X109"/>
  <c r="AW109"/>
  <c r="D110"/>
  <c r="U110"/>
  <c r="V110"/>
  <c r="W110"/>
  <c r="X110"/>
  <c r="AP110" s="1"/>
  <c r="AQ110"/>
  <c r="AW110"/>
  <c r="D111"/>
  <c r="V111"/>
  <c r="W111"/>
  <c r="X111"/>
  <c r="AW111"/>
  <c r="D112"/>
  <c r="U112"/>
  <c r="V112"/>
  <c r="W112"/>
  <c r="X112"/>
  <c r="AP112" s="1"/>
  <c r="AQ112"/>
  <c r="AW112"/>
  <c r="D113"/>
  <c r="V113"/>
  <c r="W113"/>
  <c r="X113"/>
  <c r="AW113"/>
  <c r="D114"/>
  <c r="U114"/>
  <c r="V114"/>
  <c r="W114"/>
  <c r="X114"/>
  <c r="AP114" s="1"/>
  <c r="AQ114"/>
  <c r="AW114"/>
  <c r="D115"/>
  <c r="V115"/>
  <c r="W115"/>
  <c r="X115"/>
  <c r="AW115"/>
  <c r="D116"/>
  <c r="U116"/>
  <c r="V116"/>
  <c r="W116"/>
  <c r="X116"/>
  <c r="AP116" s="1"/>
  <c r="AQ116"/>
  <c r="AW116"/>
  <c r="D117"/>
  <c r="V117"/>
  <c r="W117"/>
  <c r="X117"/>
  <c r="AW117"/>
  <c r="D118"/>
  <c r="U118"/>
  <c r="V118"/>
  <c r="W118"/>
  <c r="X118"/>
  <c r="AP118" s="1"/>
  <c r="AQ118"/>
  <c r="AW118"/>
  <c r="D119"/>
  <c r="V119"/>
  <c r="W119"/>
  <c r="X119"/>
  <c r="AW119"/>
  <c r="D120"/>
  <c r="U120"/>
  <c r="V120"/>
  <c r="W120"/>
  <c r="X120"/>
  <c r="AP120" s="1"/>
  <c r="AQ120"/>
  <c r="AW120"/>
  <c r="D121"/>
  <c r="V121"/>
  <c r="W121"/>
  <c r="X121"/>
  <c r="AW121"/>
  <c r="D122"/>
  <c r="U122"/>
  <c r="V122"/>
  <c r="W122"/>
  <c r="X122"/>
  <c r="AP122" s="1"/>
  <c r="AQ122"/>
  <c r="AW122"/>
  <c r="D123"/>
  <c r="V123"/>
  <c r="W123"/>
  <c r="X123"/>
  <c r="AW123"/>
  <c r="D124"/>
  <c r="U124"/>
  <c r="V124"/>
  <c r="W124"/>
  <c r="X124"/>
  <c r="AP124" s="1"/>
  <c r="AQ124"/>
  <c r="AW124"/>
  <c r="D125"/>
  <c r="V125"/>
  <c r="W125"/>
  <c r="X125"/>
  <c r="AW125"/>
  <c r="D126"/>
  <c r="U126"/>
  <c r="V126"/>
  <c r="W126"/>
  <c r="X126"/>
  <c r="AP126" s="1"/>
  <c r="AQ126"/>
  <c r="AW126"/>
  <c r="D127"/>
  <c r="V127"/>
  <c r="W127"/>
  <c r="X127"/>
  <c r="AW127"/>
  <c r="D128"/>
  <c r="U128"/>
  <c r="V128"/>
  <c r="W128"/>
  <c r="X128"/>
  <c r="AP128" s="1"/>
  <c r="AQ128"/>
  <c r="AW128"/>
  <c r="D129"/>
  <c r="V129"/>
  <c r="W129"/>
  <c r="X129"/>
  <c r="AW129"/>
  <c r="D130"/>
  <c r="U130"/>
  <c r="V130"/>
  <c r="W130"/>
  <c r="X130"/>
  <c r="AP130" s="1"/>
  <c r="AQ130"/>
  <c r="AW130"/>
  <c r="D131"/>
  <c r="V131"/>
  <c r="W131"/>
  <c r="X131"/>
  <c r="AW131"/>
  <c r="D132"/>
  <c r="U132"/>
  <c r="V132"/>
  <c r="W132"/>
  <c r="X132"/>
  <c r="AP132" s="1"/>
  <c r="AQ132"/>
  <c r="AW132"/>
  <c r="D133"/>
  <c r="V133"/>
  <c r="W133"/>
  <c r="X133"/>
  <c r="AW133"/>
  <c r="D134"/>
  <c r="U134"/>
  <c r="V134"/>
  <c r="W134"/>
  <c r="X134"/>
  <c r="AP134" s="1"/>
  <c r="AQ134"/>
  <c r="AW134"/>
  <c r="D135"/>
  <c r="V135"/>
  <c r="W135"/>
  <c r="X135"/>
  <c r="AW135"/>
  <c r="D136"/>
  <c r="U136"/>
  <c r="V136"/>
  <c r="W136"/>
  <c r="X136"/>
  <c r="AP136" s="1"/>
  <c r="AQ136"/>
  <c r="AW136"/>
  <c r="D137"/>
  <c r="V137"/>
  <c r="W137"/>
  <c r="X137"/>
  <c r="AW137"/>
  <c r="D138"/>
  <c r="U138"/>
  <c r="V138"/>
  <c r="W138"/>
  <c r="X138"/>
  <c r="AP138" s="1"/>
  <c r="AQ138"/>
  <c r="AW138"/>
  <c r="D139"/>
  <c r="V139"/>
  <c r="W139"/>
  <c r="X139"/>
  <c r="AW139"/>
  <c r="D140"/>
  <c r="U140"/>
  <c r="V140"/>
  <c r="W140"/>
  <c r="X140"/>
  <c r="AP140" s="1"/>
  <c r="AQ140"/>
  <c r="AW140"/>
  <c r="D141"/>
  <c r="V141"/>
  <c r="W141"/>
  <c r="X141"/>
  <c r="AW141"/>
  <c r="D142"/>
  <c r="U142"/>
  <c r="V142"/>
  <c r="W142"/>
  <c r="X142"/>
  <c r="AP142" s="1"/>
  <c r="AQ142"/>
  <c r="AW142"/>
  <c r="D143"/>
  <c r="V143"/>
  <c r="W143"/>
  <c r="X143"/>
  <c r="AW143"/>
  <c r="D144"/>
  <c r="U144"/>
  <c r="V144"/>
  <c r="W144"/>
  <c r="X144"/>
  <c r="AP144" s="1"/>
  <c r="AQ144"/>
  <c r="AW144"/>
  <c r="D145"/>
  <c r="V145"/>
  <c r="W145"/>
  <c r="X145"/>
  <c r="AW145"/>
  <c r="D146"/>
  <c r="U146"/>
  <c r="V146"/>
  <c r="W146"/>
  <c r="X146"/>
  <c r="AP146" s="1"/>
  <c r="AQ146"/>
  <c r="AW146"/>
  <c r="D147"/>
  <c r="V147"/>
  <c r="W147"/>
  <c r="X147"/>
  <c r="AW147"/>
  <c r="D148"/>
  <c r="U148"/>
  <c r="V148"/>
  <c r="W148"/>
  <c r="X148"/>
  <c r="AP148" s="1"/>
  <c r="AQ148"/>
  <c r="AW148"/>
  <c r="D149"/>
  <c r="V149"/>
  <c r="W149"/>
  <c r="X149"/>
  <c r="AW149"/>
  <c r="D150"/>
  <c r="U150"/>
  <c r="V150"/>
  <c r="W150"/>
  <c r="X150"/>
  <c r="AP150" s="1"/>
  <c r="AQ150"/>
  <c r="AW150"/>
  <c r="D151"/>
  <c r="V151"/>
  <c r="W151"/>
  <c r="X151"/>
  <c r="AW151"/>
  <c r="D152"/>
  <c r="U152"/>
  <c r="V152"/>
  <c r="W152"/>
  <c r="X152"/>
  <c r="AP152" s="1"/>
  <c r="AQ152"/>
  <c r="AW152"/>
  <c r="D153"/>
  <c r="V153"/>
  <c r="W153"/>
  <c r="X153"/>
  <c r="AW153"/>
  <c r="D154"/>
  <c r="U154"/>
  <c r="V154"/>
  <c r="W154"/>
  <c r="X154"/>
  <c r="AP154" s="1"/>
  <c r="AQ154"/>
  <c r="AW154"/>
  <c r="D155"/>
  <c r="V155"/>
  <c r="W155"/>
  <c r="X155"/>
  <c r="AW155"/>
  <c r="D156"/>
  <c r="U156"/>
  <c r="V156"/>
  <c r="W156"/>
  <c r="X156"/>
  <c r="AP156" s="1"/>
  <c r="AQ156"/>
  <c r="AW156"/>
  <c r="D157"/>
  <c r="V157"/>
  <c r="W157"/>
  <c r="X157"/>
  <c r="AW157"/>
  <c r="D158"/>
  <c r="U158"/>
  <c r="V158"/>
  <c r="W158"/>
  <c r="X158"/>
  <c r="AP158" s="1"/>
  <c r="AQ158"/>
  <c r="AW158"/>
  <c r="D159"/>
  <c r="V159"/>
  <c r="W159"/>
  <c r="X159"/>
  <c r="AW159"/>
  <c r="D160"/>
  <c r="U160"/>
  <c r="V160"/>
  <c r="W160"/>
  <c r="X160"/>
  <c r="AP160" s="1"/>
  <c r="AQ160"/>
  <c r="AW160"/>
  <c r="D161"/>
  <c r="V161"/>
  <c r="W161"/>
  <c r="X161"/>
  <c r="AW161"/>
  <c r="D162"/>
  <c r="U162"/>
  <c r="V162"/>
  <c r="W162"/>
  <c r="X162"/>
  <c r="AP162" s="1"/>
  <c r="AQ162"/>
  <c r="AW162"/>
  <c r="D163"/>
  <c r="V163"/>
  <c r="W163"/>
  <c r="X163"/>
  <c r="AW163"/>
  <c r="D164"/>
  <c r="U164"/>
  <c r="V164"/>
  <c r="W164"/>
  <c r="X164"/>
  <c r="AP164" s="1"/>
  <c r="AQ164"/>
  <c r="AW164"/>
  <c r="D165"/>
  <c r="V165"/>
  <c r="W165"/>
  <c r="X165"/>
  <c r="AW165"/>
  <c r="D166"/>
  <c r="U166"/>
  <c r="V166"/>
  <c r="W166"/>
  <c r="X166"/>
  <c r="AP166" s="1"/>
  <c r="AQ166"/>
  <c r="AW166"/>
  <c r="D167"/>
  <c r="V167"/>
  <c r="W167"/>
  <c r="X167"/>
  <c r="AW167"/>
  <c r="D168"/>
  <c r="U168"/>
  <c r="V168"/>
  <c r="W168"/>
  <c r="X168"/>
  <c r="AP168" s="1"/>
  <c r="AQ168"/>
  <c r="AW168"/>
  <c r="D169"/>
  <c r="V169"/>
  <c r="W169"/>
  <c r="X169"/>
  <c r="AW169"/>
  <c r="D170"/>
  <c r="U170"/>
  <c r="V170"/>
  <c r="W170"/>
  <c r="X170"/>
  <c r="AP170" s="1"/>
  <c r="AQ170"/>
  <c r="AW170"/>
  <c r="D171"/>
  <c r="V171"/>
  <c r="W171"/>
  <c r="X171"/>
  <c r="AW171"/>
  <c r="D172"/>
  <c r="U172"/>
  <c r="V172"/>
  <c r="W172"/>
  <c r="X172"/>
  <c r="AP172" s="1"/>
  <c r="AQ172"/>
  <c r="AW172"/>
  <c r="D173"/>
  <c r="V173"/>
  <c r="W173"/>
  <c r="X173"/>
  <c r="AW173"/>
  <c r="D174"/>
  <c r="U174"/>
  <c r="V174"/>
  <c r="W174"/>
  <c r="X174"/>
  <c r="AP174" s="1"/>
  <c r="AQ174"/>
  <c r="AW174"/>
  <c r="D175"/>
  <c r="V175"/>
  <c r="W175"/>
  <c r="X175"/>
  <c r="AW175"/>
  <c r="D176"/>
  <c r="U176"/>
  <c r="V176"/>
  <c r="W176"/>
  <c r="X176"/>
  <c r="AP176" s="1"/>
  <c r="AQ176"/>
  <c r="AW176"/>
  <c r="D177"/>
  <c r="V177"/>
  <c r="W177"/>
  <c r="X177"/>
  <c r="AW177"/>
  <c r="D178"/>
  <c r="U178"/>
  <c r="V178"/>
  <c r="W178"/>
  <c r="X178"/>
  <c r="AP178" s="1"/>
  <c r="AQ178"/>
  <c r="AW178"/>
  <c r="D179"/>
  <c r="V179"/>
  <c r="W179"/>
  <c r="X179"/>
  <c r="AW179"/>
  <c r="D180"/>
  <c r="U180"/>
  <c r="V180"/>
  <c r="W180"/>
  <c r="X180"/>
  <c r="AP180" s="1"/>
  <c r="AQ180"/>
  <c r="AW180"/>
  <c r="D181"/>
  <c r="V181"/>
  <c r="W181"/>
  <c r="X181"/>
  <c r="AW181"/>
  <c r="D182"/>
  <c r="U182"/>
  <c r="V182"/>
  <c r="W182"/>
  <c r="X182"/>
  <c r="AP182" s="1"/>
  <c r="AQ182"/>
  <c r="AW182"/>
  <c r="D183"/>
  <c r="V183"/>
  <c r="W183"/>
  <c r="X183"/>
  <c r="AW183"/>
  <c r="D184"/>
  <c r="U184"/>
  <c r="V184"/>
  <c r="W184"/>
  <c r="X184"/>
  <c r="AP184" s="1"/>
  <c r="AQ184"/>
  <c r="AW184"/>
  <c r="D185"/>
  <c r="V185"/>
  <c r="W185"/>
  <c r="X185"/>
  <c r="AW185"/>
  <c r="D186"/>
  <c r="U186"/>
  <c r="V186"/>
  <c r="W186"/>
  <c r="X186"/>
  <c r="AP186" s="1"/>
  <c r="AQ186"/>
  <c r="AW186"/>
  <c r="D187"/>
  <c r="V187"/>
  <c r="W187"/>
  <c r="X187"/>
  <c r="AW187"/>
  <c r="D188"/>
  <c r="U188"/>
  <c r="V188"/>
  <c r="W188"/>
  <c r="X188"/>
  <c r="AP188" s="1"/>
  <c r="AQ188"/>
  <c r="AW188"/>
  <c r="D189"/>
  <c r="V189"/>
  <c r="W189"/>
  <c r="X189"/>
  <c r="AW189"/>
  <c r="D190"/>
  <c r="U190"/>
  <c r="V190"/>
  <c r="W190"/>
  <c r="X190"/>
  <c r="AP190" s="1"/>
  <c r="AQ190"/>
  <c r="AW190"/>
  <c r="D191"/>
  <c r="V191"/>
  <c r="W191"/>
  <c r="X191"/>
  <c r="AW191"/>
  <c r="D192"/>
  <c r="U192"/>
  <c r="V192"/>
  <c r="W192"/>
  <c r="X192"/>
  <c r="AP192" s="1"/>
  <c r="AQ192"/>
  <c r="AW192"/>
  <c r="D193"/>
  <c r="V193"/>
  <c r="W193"/>
  <c r="X193"/>
  <c r="AW193"/>
  <c r="D194"/>
  <c r="U194"/>
  <c r="V194"/>
  <c r="W194"/>
  <c r="X194"/>
  <c r="AP194" s="1"/>
  <c r="AQ194"/>
  <c r="AW194"/>
  <c r="D195"/>
  <c r="V195"/>
  <c r="W195"/>
  <c r="X195"/>
  <c r="AW195"/>
  <c r="D196"/>
  <c r="U196"/>
  <c r="V196"/>
  <c r="W196"/>
  <c r="X196"/>
  <c r="AP196" s="1"/>
  <c r="AQ196"/>
  <c r="AW196"/>
  <c r="D197"/>
  <c r="V197"/>
  <c r="W197"/>
  <c r="X197"/>
  <c r="AW197"/>
  <c r="D198"/>
  <c r="U198"/>
  <c r="V198"/>
  <c r="W198"/>
  <c r="X198"/>
  <c r="AP198" s="1"/>
  <c r="AQ198"/>
  <c r="AW198"/>
  <c r="D199"/>
  <c r="V199"/>
  <c r="W199"/>
  <c r="X199"/>
  <c r="AW199"/>
  <c r="D200"/>
  <c r="U200"/>
  <c r="V200"/>
  <c r="W200"/>
  <c r="X200"/>
  <c r="AP200" s="1"/>
  <c r="AQ200"/>
  <c r="AW200"/>
  <c r="D201"/>
  <c r="V201"/>
  <c r="W201"/>
  <c r="X201"/>
  <c r="AW201"/>
  <c r="D202"/>
  <c r="U202"/>
  <c r="V202"/>
  <c r="W202"/>
  <c r="X202"/>
  <c r="AP202" s="1"/>
  <c r="AQ202"/>
  <c r="AW202"/>
  <c r="D203"/>
  <c r="V203"/>
  <c r="W203"/>
  <c r="X203"/>
  <c r="AW203"/>
  <c r="D204"/>
  <c r="U204"/>
  <c r="V204"/>
  <c r="W204"/>
  <c r="X204"/>
  <c r="AP204" s="1"/>
  <c r="AQ204"/>
  <c r="AW204"/>
  <c r="D205"/>
  <c r="V205"/>
  <c r="W205"/>
  <c r="X205"/>
  <c r="AW205"/>
  <c r="D206"/>
  <c r="U206"/>
  <c r="V206"/>
  <c r="W206"/>
  <c r="X206"/>
  <c r="AP206" s="1"/>
  <c r="AQ206"/>
  <c r="AW206"/>
  <c r="D207"/>
  <c r="V207"/>
  <c r="W207"/>
  <c r="X207"/>
  <c r="AW207"/>
  <c r="D208"/>
  <c r="U208"/>
  <c r="V208"/>
  <c r="W208"/>
  <c r="X208"/>
  <c r="AP208" s="1"/>
  <c r="AQ208"/>
  <c r="AW208"/>
  <c r="D209"/>
  <c r="V209"/>
  <c r="W209"/>
  <c r="X209"/>
  <c r="AW209"/>
  <c r="D210"/>
  <c r="U210"/>
  <c r="V210"/>
  <c r="W210"/>
  <c r="X210"/>
  <c r="AP210" s="1"/>
  <c r="AQ210"/>
  <c r="AW210"/>
  <c r="D211"/>
  <c r="V211"/>
  <c r="W211"/>
  <c r="X211"/>
  <c r="AW211"/>
  <c r="D212"/>
  <c r="U212"/>
  <c r="V212"/>
  <c r="W212"/>
  <c r="X212"/>
  <c r="AP212" s="1"/>
  <c r="AQ212"/>
  <c r="AW212"/>
  <c r="D213"/>
  <c r="V213"/>
  <c r="W213"/>
  <c r="X213"/>
  <c r="AW213"/>
  <c r="D214"/>
  <c r="U214"/>
  <c r="V214"/>
  <c r="W214"/>
  <c r="X214"/>
  <c r="AP214" s="1"/>
  <c r="AQ214"/>
  <c r="AW214"/>
  <c r="D215"/>
  <c r="V215"/>
  <c r="W215"/>
  <c r="X215"/>
  <c r="AW215"/>
  <c r="D216"/>
  <c r="U216"/>
  <c r="V216"/>
  <c r="W216"/>
  <c r="X216"/>
  <c r="AP216" s="1"/>
  <c r="AQ216"/>
  <c r="AW216"/>
  <c r="D217"/>
  <c r="V217"/>
  <c r="W217"/>
  <c r="X217"/>
  <c r="AW217"/>
  <c r="D218"/>
  <c r="U218"/>
  <c r="V218"/>
  <c r="W218"/>
  <c r="X218"/>
  <c r="AP218" s="1"/>
  <c r="AQ218"/>
  <c r="AW218"/>
  <c r="D219"/>
  <c r="V219"/>
  <c r="W219"/>
  <c r="X219"/>
  <c r="AW219"/>
  <c r="D220"/>
  <c r="U220"/>
  <c r="V220"/>
  <c r="W220"/>
  <c r="X220"/>
  <c r="AP220" s="1"/>
  <c r="AQ220"/>
  <c r="AW220"/>
  <c r="D221"/>
  <c r="V221"/>
  <c r="W221"/>
  <c r="X221"/>
  <c r="AW221"/>
  <c r="D222"/>
  <c r="U222"/>
  <c r="V222"/>
  <c r="W222"/>
  <c r="X222"/>
  <c r="AP222" s="1"/>
  <c r="AQ222"/>
  <c r="AW222"/>
  <c r="D223"/>
  <c r="V223"/>
  <c r="W223"/>
  <c r="X223"/>
  <c r="AW223"/>
  <c r="D224"/>
  <c r="U224"/>
  <c r="V224"/>
  <c r="W224"/>
  <c r="X224"/>
  <c r="AP224" s="1"/>
  <c r="AQ224"/>
  <c r="AW224"/>
  <c r="D225"/>
  <c r="V225"/>
  <c r="W225"/>
  <c r="X225"/>
  <c r="AW225"/>
  <c r="D226"/>
  <c r="U226"/>
  <c r="V226"/>
  <c r="W226"/>
  <c r="X226"/>
  <c r="AP226" s="1"/>
  <c r="AQ226"/>
  <c r="AW226"/>
  <c r="D227"/>
  <c r="V227"/>
  <c r="W227"/>
  <c r="X227"/>
  <c r="AW227"/>
  <c r="D228"/>
  <c r="U228"/>
  <c r="V228"/>
  <c r="W228"/>
  <c r="X228"/>
  <c r="AP228" s="1"/>
  <c r="AQ228"/>
  <c r="AW228"/>
  <c r="D229"/>
  <c r="V229"/>
  <c r="W229"/>
  <c r="X229"/>
  <c r="AW229"/>
  <c r="D230"/>
  <c r="U230"/>
  <c r="V230"/>
  <c r="W230"/>
  <c r="X230"/>
  <c r="AP230" s="1"/>
  <c r="AQ230"/>
  <c r="AW230"/>
  <c r="D231"/>
  <c r="V231"/>
  <c r="W231"/>
  <c r="X231"/>
  <c r="AW231"/>
  <c r="D232"/>
  <c r="U232"/>
  <c r="V232"/>
  <c r="W232"/>
  <c r="X232"/>
  <c r="AP232" s="1"/>
  <c r="AQ232"/>
  <c r="AW232"/>
  <c r="D233"/>
  <c r="V233"/>
  <c r="W233"/>
  <c r="X233"/>
  <c r="AW233"/>
  <c r="D234"/>
  <c r="U234"/>
  <c r="V234"/>
  <c r="W234"/>
  <c r="X234"/>
  <c r="AP234" s="1"/>
  <c r="AQ234"/>
  <c r="AW234"/>
  <c r="D235"/>
  <c r="V235"/>
  <c r="W235"/>
  <c r="X235"/>
  <c r="AW235"/>
  <c r="D236"/>
  <c r="U236"/>
  <c r="V236"/>
  <c r="W236"/>
  <c r="X236"/>
  <c r="AP236" s="1"/>
  <c r="AQ236"/>
  <c r="AW236"/>
  <c r="D237"/>
  <c r="V237"/>
  <c r="W237"/>
  <c r="X237"/>
  <c r="AW237"/>
  <c r="D238"/>
  <c r="U238"/>
  <c r="V238"/>
  <c r="W238"/>
  <c r="X238"/>
  <c r="AP238" s="1"/>
  <c r="AQ238"/>
  <c r="AW238"/>
  <c r="D239"/>
  <c r="V239"/>
  <c r="W239"/>
  <c r="X239"/>
  <c r="AW239"/>
  <c r="D240"/>
  <c r="U240"/>
  <c r="V240"/>
  <c r="W240"/>
  <c r="X240"/>
  <c r="AP240" s="1"/>
  <c r="AQ240"/>
  <c r="AW240"/>
  <c r="D241"/>
  <c r="V241"/>
  <c r="W241"/>
  <c r="X241"/>
  <c r="AW241"/>
  <c r="D242"/>
  <c r="U242"/>
  <c r="V242"/>
  <c r="W242"/>
  <c r="X242"/>
  <c r="AP242" s="1"/>
  <c r="AQ242"/>
  <c r="AW242"/>
  <c r="D243"/>
  <c r="V243"/>
  <c r="W243"/>
  <c r="X243"/>
  <c r="AW243"/>
  <c r="D244"/>
  <c r="U244"/>
  <c r="V244"/>
  <c r="W244"/>
  <c r="X244"/>
  <c r="AP244" s="1"/>
  <c r="AQ244"/>
  <c r="AW244"/>
  <c r="D245"/>
  <c r="V245"/>
  <c r="W245"/>
  <c r="X245"/>
  <c r="AW245"/>
  <c r="D246"/>
  <c r="U246"/>
  <c r="V246"/>
  <c r="W246"/>
  <c r="X246"/>
  <c r="AP246" s="1"/>
  <c r="AQ246"/>
  <c r="AW246"/>
  <c r="D247"/>
  <c r="V247"/>
  <c r="W247"/>
  <c r="X247"/>
  <c r="AW247"/>
  <c r="D248"/>
  <c r="U248"/>
  <c r="V248"/>
  <c r="W248"/>
  <c r="X248"/>
  <c r="AP248" s="1"/>
  <c r="AQ248"/>
  <c r="AW248"/>
  <c r="D249"/>
  <c r="V249"/>
  <c r="W249"/>
  <c r="X249"/>
  <c r="AW249"/>
  <c r="D250"/>
  <c r="U250"/>
  <c r="V250"/>
  <c r="W250"/>
  <c r="X250"/>
  <c r="AP250" s="1"/>
  <c r="AQ250"/>
  <c r="AW250"/>
  <c r="D251"/>
  <c r="V251"/>
  <c r="W251"/>
  <c r="X251"/>
  <c r="AW251"/>
  <c r="D252"/>
  <c r="U252"/>
  <c r="V252"/>
  <c r="W252"/>
  <c r="X252"/>
  <c r="AP252" s="1"/>
  <c r="AQ252"/>
  <c r="AW252"/>
  <c r="D253"/>
  <c r="V253"/>
  <c r="W253"/>
  <c r="X253"/>
  <c r="AW253"/>
  <c r="D254"/>
  <c r="U254"/>
  <c r="V254"/>
  <c r="W254"/>
  <c r="X254"/>
  <c r="AP254" s="1"/>
  <c r="AQ254"/>
  <c r="AW254"/>
  <c r="D255"/>
  <c r="V255"/>
  <c r="W255"/>
  <c r="X255"/>
  <c r="AW255"/>
  <c r="D256"/>
  <c r="U256"/>
  <c r="V256"/>
  <c r="W256"/>
  <c r="X256"/>
  <c r="AP256" s="1"/>
  <c r="AQ256"/>
  <c r="AW256"/>
  <c r="D257"/>
  <c r="V257"/>
  <c r="W257"/>
  <c r="X257"/>
  <c r="AW257"/>
  <c r="D258"/>
  <c r="U258"/>
  <c r="V258"/>
  <c r="W258"/>
  <c r="X258"/>
  <c r="AP258" s="1"/>
  <c r="AQ258"/>
  <c r="AW258"/>
  <c r="D259"/>
  <c r="V259"/>
  <c r="W259"/>
  <c r="X259"/>
  <c r="AW259"/>
  <c r="D260"/>
  <c r="U260"/>
  <c r="V260"/>
  <c r="W260"/>
  <c r="X260"/>
  <c r="AP260" s="1"/>
  <c r="AQ260"/>
  <c r="AW260"/>
  <c r="D261"/>
  <c r="V261"/>
  <c r="W261"/>
  <c r="X261"/>
  <c r="AW261"/>
  <c r="D262"/>
  <c r="U262"/>
  <c r="V262"/>
  <c r="W262"/>
  <c r="X262"/>
  <c r="AP262" s="1"/>
  <c r="AQ262"/>
  <c r="AW262"/>
  <c r="D263"/>
  <c r="V263"/>
  <c r="W263"/>
  <c r="X263"/>
  <c r="AW263"/>
  <c r="D264"/>
  <c r="U264"/>
  <c r="V264"/>
  <c r="W264"/>
  <c r="X264"/>
  <c r="AP264" s="1"/>
  <c r="AQ264"/>
  <c r="AW264"/>
  <c r="D265"/>
  <c r="V265"/>
  <c r="W265"/>
  <c r="X265"/>
  <c r="AW265"/>
  <c r="D266"/>
  <c r="U266"/>
  <c r="V266"/>
  <c r="W266"/>
  <c r="X266"/>
  <c r="AP266" s="1"/>
  <c r="AQ266"/>
  <c r="AW266"/>
  <c r="D267"/>
  <c r="V267"/>
  <c r="W267"/>
  <c r="X267"/>
  <c r="AW267"/>
  <c r="D268"/>
  <c r="U268"/>
  <c r="V268"/>
  <c r="W268"/>
  <c r="X268"/>
  <c r="AP268" s="1"/>
  <c r="AQ268"/>
  <c r="AW268"/>
  <c r="D269"/>
  <c r="V269"/>
  <c r="W269"/>
  <c r="X269"/>
  <c r="AW269"/>
  <c r="D270"/>
  <c r="U270"/>
  <c r="V270"/>
  <c r="W270"/>
  <c r="X270"/>
  <c r="AP270" s="1"/>
  <c r="AQ270"/>
  <c r="AW270"/>
  <c r="D271"/>
  <c r="V271"/>
  <c r="W271"/>
  <c r="X271"/>
  <c r="AW271"/>
  <c r="D272"/>
  <c r="U272"/>
  <c r="V272"/>
  <c r="W272"/>
  <c r="X272"/>
  <c r="AP272" s="1"/>
  <c r="AQ272"/>
  <c r="AW272"/>
  <c r="D273"/>
  <c r="V273"/>
  <c r="W273"/>
  <c r="X273"/>
  <c r="AW273"/>
  <c r="D274"/>
  <c r="U274"/>
  <c r="V274"/>
  <c r="W274"/>
  <c r="X274"/>
  <c r="AP274" s="1"/>
  <c r="AQ274"/>
  <c r="AW274"/>
  <c r="D275"/>
  <c r="V275"/>
  <c r="W275"/>
  <c r="X275"/>
  <c r="AW275"/>
  <c r="D276"/>
  <c r="U276"/>
  <c r="V276"/>
  <c r="W276"/>
  <c r="X276"/>
  <c r="AP276" s="1"/>
  <c r="AQ276"/>
  <c r="AW276"/>
  <c r="D277"/>
  <c r="V277"/>
  <c r="W277"/>
  <c r="X277"/>
  <c r="AW277"/>
  <c r="D278"/>
  <c r="U278"/>
  <c r="V278"/>
  <c r="W278"/>
  <c r="X278"/>
  <c r="AP278" s="1"/>
  <c r="AQ278"/>
  <c r="AW278"/>
  <c r="D279"/>
  <c r="V279"/>
  <c r="W279"/>
  <c r="X279"/>
  <c r="AW279"/>
  <c r="D280"/>
  <c r="U280"/>
  <c r="V280"/>
  <c r="W280"/>
  <c r="X280"/>
  <c r="AP280" s="1"/>
  <c r="AQ280"/>
  <c r="AW280"/>
  <c r="D281"/>
  <c r="V281"/>
  <c r="W281"/>
  <c r="X281"/>
  <c r="AW281"/>
  <c r="D282"/>
  <c r="U282"/>
  <c r="V282"/>
  <c r="W282"/>
  <c r="X282"/>
  <c r="AP282" s="1"/>
  <c r="AQ282"/>
  <c r="AW282"/>
  <c r="D283"/>
  <c r="V283"/>
  <c r="W283"/>
  <c r="X283"/>
  <c r="AW283"/>
  <c r="D284"/>
  <c r="U284"/>
  <c r="V284"/>
  <c r="W284"/>
  <c r="X284"/>
  <c r="AP284" s="1"/>
  <c r="AQ284"/>
  <c r="AW284"/>
  <c r="D285"/>
  <c r="V285"/>
  <c r="W285"/>
  <c r="X285"/>
  <c r="AW285"/>
  <c r="D286"/>
  <c r="U286"/>
  <c r="V286"/>
  <c r="W286"/>
  <c r="X286"/>
  <c r="AQ286"/>
  <c r="AW286"/>
  <c r="D287"/>
  <c r="V287"/>
  <c r="W287"/>
  <c r="X287"/>
  <c r="AW287"/>
  <c r="D288"/>
  <c r="U288"/>
  <c r="V288"/>
  <c r="W288"/>
  <c r="X288"/>
  <c r="AP288" s="1"/>
  <c r="AQ288"/>
  <c r="AW288"/>
  <c r="D289"/>
  <c r="V289"/>
  <c r="W289"/>
  <c r="X289"/>
  <c r="AW289"/>
  <c r="D290"/>
  <c r="U290"/>
  <c r="V290"/>
  <c r="W290"/>
  <c r="X290"/>
  <c r="AP290" s="1"/>
  <c r="AQ290"/>
  <c r="AW290"/>
  <c r="D291"/>
  <c r="V291"/>
  <c r="W291"/>
  <c r="X291"/>
  <c r="AW291"/>
  <c r="D292"/>
  <c r="U292"/>
  <c r="V292"/>
  <c r="W292"/>
  <c r="X292"/>
  <c r="AP292" s="1"/>
  <c r="AQ292"/>
  <c r="AW292"/>
  <c r="D293"/>
  <c r="V293"/>
  <c r="W293"/>
  <c r="X293"/>
  <c r="AW293"/>
  <c r="D294"/>
  <c r="U294"/>
  <c r="V294"/>
  <c r="W294"/>
  <c r="X294"/>
  <c r="AP294" s="1"/>
  <c r="AQ294"/>
  <c r="AW294"/>
  <c r="D295"/>
  <c r="V295"/>
  <c r="W295"/>
  <c r="X295"/>
  <c r="AW295"/>
  <c r="D296"/>
  <c r="U296"/>
  <c r="V296"/>
  <c r="W296"/>
  <c r="X296"/>
  <c r="AP296" s="1"/>
  <c r="AQ296"/>
  <c r="AW296"/>
  <c r="D297"/>
  <c r="V297"/>
  <c r="W297"/>
  <c r="X297"/>
  <c r="AW297"/>
  <c r="D298"/>
  <c r="U298"/>
  <c r="V298"/>
  <c r="W298"/>
  <c r="X298"/>
  <c r="AP298" s="1"/>
  <c r="AQ298"/>
  <c r="AW298"/>
  <c r="D299"/>
  <c r="V299"/>
  <c r="W299"/>
  <c r="X299"/>
  <c r="AW299"/>
  <c r="D300"/>
  <c r="U300"/>
  <c r="V300"/>
  <c r="W300"/>
  <c r="X300"/>
  <c r="AP300" s="1"/>
  <c r="AQ300"/>
  <c r="AW300"/>
  <c r="D301"/>
  <c r="V301"/>
  <c r="W301"/>
  <c r="X301"/>
  <c r="AW301"/>
  <c r="D302"/>
  <c r="U302"/>
  <c r="V302"/>
  <c r="W302"/>
  <c r="X302"/>
  <c r="AP302" s="1"/>
  <c r="AQ302"/>
  <c r="AW302"/>
  <c r="D303"/>
  <c r="V303"/>
  <c r="W303"/>
  <c r="X303"/>
  <c r="AW303"/>
  <c r="D304"/>
  <c r="U304"/>
  <c r="V304"/>
  <c r="W304"/>
  <c r="X304"/>
  <c r="AP304" s="1"/>
  <c r="AQ304"/>
  <c r="AW304"/>
  <c r="D305"/>
  <c r="V305"/>
  <c r="W305"/>
  <c r="X305"/>
  <c r="AW305"/>
  <c r="D306"/>
  <c r="U306"/>
  <c r="V306"/>
  <c r="W306"/>
  <c r="X306"/>
  <c r="AP306" s="1"/>
  <c r="AQ306"/>
  <c r="AW306"/>
  <c r="D307"/>
  <c r="V307"/>
  <c r="W307"/>
  <c r="X307"/>
  <c r="AW307"/>
  <c r="D308"/>
  <c r="U308"/>
  <c r="V308"/>
  <c r="W308"/>
  <c r="X308"/>
  <c r="AP308" s="1"/>
  <c r="AQ308"/>
  <c r="AW308"/>
  <c r="B7" i="9"/>
  <c r="B19"/>
  <c r="B33"/>
  <c r="B34"/>
  <c r="B36"/>
  <c r="B38"/>
  <c r="C45"/>
  <c r="C48"/>
  <c r="B121"/>
  <c r="B122"/>
  <c r="B123"/>
  <c r="B143"/>
  <c r="Y276" i="12" s="1"/>
  <c r="C143" i="9"/>
  <c r="I87" i="15" s="1"/>
  <c r="B144" i="9"/>
  <c r="C144"/>
  <c r="B145"/>
  <c r="C145"/>
  <c r="B146"/>
  <c r="C146"/>
  <c r="B147"/>
  <c r="C147"/>
  <c r="B148"/>
  <c r="C148"/>
  <c r="C149"/>
  <c r="B14" i="17"/>
  <c r="B15"/>
  <c r="B16" s="1"/>
  <c r="D15" i="18"/>
  <c r="B18"/>
  <c r="E26"/>
  <c r="C43"/>
  <c r="D43"/>
  <c r="D45"/>
  <c r="G2" i="2"/>
  <c r="G21"/>
  <c r="E22"/>
  <c r="F22"/>
  <c r="G22"/>
  <c r="C25"/>
  <c r="D28"/>
  <c r="D44"/>
  <c r="D48" s="1"/>
  <c r="F44"/>
  <c r="F48" s="1"/>
  <c r="B22" i="9"/>
  <c r="D2" i="10"/>
  <c r="B7" i="2" s="1"/>
  <c r="C104" i="1"/>
  <c r="C46" s="1"/>
  <c r="B11" i="9"/>
  <c r="C47"/>
  <c r="C43"/>
  <c r="C49"/>
  <c r="A3" i="4"/>
  <c r="AP108" i="12"/>
  <c r="B9" i="9"/>
  <c r="L11" i="19"/>
  <c r="L18" s="1"/>
  <c r="L82" i="15"/>
  <c r="L119" s="1"/>
  <c r="M119" s="1"/>
  <c r="C45" i="18"/>
  <c r="K44"/>
  <c r="B5" i="9"/>
  <c r="Z46" i="12" s="1"/>
  <c r="AD46" s="1"/>
  <c r="B17" i="9"/>
  <c r="AA154" i="12" s="1"/>
  <c r="AE154" s="1"/>
  <c r="B23" i="9"/>
  <c r="B20"/>
  <c r="B8"/>
  <c r="B6"/>
  <c r="C44"/>
  <c r="B18"/>
  <c r="M19" i="4"/>
  <c r="Y33" i="12"/>
  <c r="AF33" s="1"/>
  <c r="AG33" s="1"/>
  <c r="AA296"/>
  <c r="AE296" s="1"/>
  <c r="AA302" l="1"/>
  <c r="AE302" s="1"/>
  <c r="AA239"/>
  <c r="AE239" s="1"/>
  <c r="AA119"/>
  <c r="AE119" s="1"/>
  <c r="AA216"/>
  <c r="AE216" s="1"/>
  <c r="E9" i="10"/>
  <c r="AA21" i="12"/>
  <c r="AE21" s="1"/>
  <c r="AA255"/>
  <c r="AE255" s="1"/>
  <c r="AA70"/>
  <c r="AE70" s="1"/>
  <c r="AA83"/>
  <c r="AE83" s="1"/>
  <c r="AA96"/>
  <c r="AE96" s="1"/>
  <c r="L46" i="19"/>
  <c r="M46" s="1"/>
  <c r="L40"/>
  <c r="M40" s="1"/>
  <c r="L45"/>
  <c r="M45" s="1"/>
  <c r="M72"/>
  <c r="AA232" i="12"/>
  <c r="AE232" s="1"/>
  <c r="AA59"/>
  <c r="AA58"/>
  <c r="AE58" s="1"/>
  <c r="AA139"/>
  <c r="AE139" s="1"/>
  <c r="AA244"/>
  <c r="AE244" s="1"/>
  <c r="AA227"/>
  <c r="AE227" s="1"/>
  <c r="AA100"/>
  <c r="AE100" s="1"/>
  <c r="AA124"/>
  <c r="AE124" s="1"/>
  <c r="AA295"/>
  <c r="AE295" s="1"/>
  <c r="AA179"/>
  <c r="AE179" s="1"/>
  <c r="AA206"/>
  <c r="AE206" s="1"/>
  <c r="AA277"/>
  <c r="AE277" s="1"/>
  <c r="AA37"/>
  <c r="AE37" s="1"/>
  <c r="AA186"/>
  <c r="AE186" s="1"/>
  <c r="AA230"/>
  <c r="AE230" s="1"/>
  <c r="AA263"/>
  <c r="AE263" s="1"/>
  <c r="AA251"/>
  <c r="AE251" s="1"/>
  <c r="AA223"/>
  <c r="AE223" s="1"/>
  <c r="AA271"/>
  <c r="AE271" s="1"/>
  <c r="Y265"/>
  <c r="AA196"/>
  <c r="AE196" s="1"/>
  <c r="AA109"/>
  <c r="AE109" s="1"/>
  <c r="Y30"/>
  <c r="AA287"/>
  <c r="AE287" s="1"/>
  <c r="AA260"/>
  <c r="AE260" s="1"/>
  <c r="AA160"/>
  <c r="AE160" s="1"/>
  <c r="AA226"/>
  <c r="AE226" s="1"/>
  <c r="AA159"/>
  <c r="AE159" s="1"/>
  <c r="AA171"/>
  <c r="AE171" s="1"/>
  <c r="Y57"/>
  <c r="AA188"/>
  <c r="AE188" s="1"/>
  <c r="AA252"/>
  <c r="AE252" s="1"/>
  <c r="AA168"/>
  <c r="AE168" s="1"/>
  <c r="AA107"/>
  <c r="AE107" s="1"/>
  <c r="AA180"/>
  <c r="AE180" s="1"/>
  <c r="AA95"/>
  <c r="AE95" s="1"/>
  <c r="AA175"/>
  <c r="AE175" s="1"/>
  <c r="AA114"/>
  <c r="AE114" s="1"/>
  <c r="AA292"/>
  <c r="AE292" s="1"/>
  <c r="Y21"/>
  <c r="AF21" s="1"/>
  <c r="AG21" s="1"/>
  <c r="I15" i="15"/>
  <c r="AA198" i="12"/>
  <c r="AE198" s="1"/>
  <c r="AA238"/>
  <c r="AE238" s="1"/>
  <c r="AA82"/>
  <c r="AE82" s="1"/>
  <c r="AA25"/>
  <c r="AE25" s="1"/>
  <c r="AA71"/>
  <c r="AE71" s="1"/>
  <c r="AA237"/>
  <c r="AE237" s="1"/>
  <c r="AA22"/>
  <c r="AE22" s="1"/>
  <c r="AA241"/>
  <c r="AE241" s="1"/>
  <c r="AA213"/>
  <c r="AE213" s="1"/>
  <c r="AA291"/>
  <c r="AE291" s="1"/>
  <c r="AA178"/>
  <c r="AE178" s="1"/>
  <c r="AA177"/>
  <c r="AE177" s="1"/>
  <c r="Y303"/>
  <c r="AB303" s="1"/>
  <c r="AC303" s="1"/>
  <c r="AA174"/>
  <c r="AE174" s="1"/>
  <c r="AA189"/>
  <c r="AE189" s="1"/>
  <c r="AA261"/>
  <c r="AE261" s="1"/>
  <c r="AA115"/>
  <c r="AE115" s="1"/>
  <c r="AA125"/>
  <c r="AE125" s="1"/>
  <c r="AA134"/>
  <c r="AE134" s="1"/>
  <c r="AA308"/>
  <c r="AE308" s="1"/>
  <c r="Y243"/>
  <c r="AF243" s="1"/>
  <c r="AG243" s="1"/>
  <c r="L16" i="2"/>
  <c r="AA257" i="12"/>
  <c r="AE257" s="1"/>
  <c r="AA273"/>
  <c r="AE273" s="1"/>
  <c r="AA151"/>
  <c r="AE151" s="1"/>
  <c r="AA93"/>
  <c r="AE93" s="1"/>
  <c r="AA228"/>
  <c r="AE228" s="1"/>
  <c r="AA94"/>
  <c r="AE94" s="1"/>
  <c r="AA284"/>
  <c r="AE284" s="1"/>
  <c r="AA133"/>
  <c r="AE133" s="1"/>
  <c r="Y209"/>
  <c r="AA256"/>
  <c r="AE256" s="1"/>
  <c r="Z134"/>
  <c r="AD134" s="1"/>
  <c r="Z35"/>
  <c r="AD35" s="1"/>
  <c r="Z177"/>
  <c r="AD177" s="1"/>
  <c r="Z102"/>
  <c r="AD102" s="1"/>
  <c r="Z244"/>
  <c r="AD244" s="1"/>
  <c r="Z251"/>
  <c r="AD251" s="1"/>
  <c r="Z280"/>
  <c r="AD280" s="1"/>
  <c r="C133" i="1"/>
  <c r="C39" i="9"/>
  <c r="L47" i="15" s="1"/>
  <c r="M47" s="1"/>
  <c r="Z50" i="12"/>
  <c r="AD50" s="1"/>
  <c r="I77" i="19"/>
  <c r="C26" i="18"/>
  <c r="L79" i="19"/>
  <c r="M79" s="1"/>
  <c r="L108"/>
  <c r="M108" s="1"/>
  <c r="L89"/>
  <c r="M89" s="1"/>
  <c r="L102"/>
  <c r="M102" s="1"/>
  <c r="L84"/>
  <c r="M84" s="1"/>
  <c r="L101"/>
  <c r="M101" s="1"/>
  <c r="L88"/>
  <c r="M88" s="1"/>
  <c r="L87"/>
  <c r="M87" s="1"/>
  <c r="L103"/>
  <c r="M103" s="1"/>
  <c r="L111"/>
  <c r="M111" s="1"/>
  <c r="L109"/>
  <c r="M109" s="1"/>
  <c r="L110"/>
  <c r="M110" s="1"/>
  <c r="L90"/>
  <c r="M90" s="1"/>
  <c r="C48" i="1"/>
  <c r="B48" i="2"/>
  <c r="B39" i="9"/>
  <c r="Z277" i="12"/>
  <c r="AD277" s="1"/>
  <c r="Z270"/>
  <c r="AD270" s="1"/>
  <c r="Z261"/>
  <c r="AA81"/>
  <c r="AE81" s="1"/>
  <c r="AA233"/>
  <c r="AE233" s="1"/>
  <c r="AA39"/>
  <c r="AE39" s="1"/>
  <c r="AA24"/>
  <c r="AE24" s="1"/>
  <c r="AA184"/>
  <c r="AE184" s="1"/>
  <c r="AA149"/>
  <c r="AE149" s="1"/>
  <c r="Y118"/>
  <c r="AB118" s="1"/>
  <c r="AC118" s="1"/>
  <c r="AA268"/>
  <c r="AE268" s="1"/>
  <c r="Z29"/>
  <c r="AA86"/>
  <c r="AE86" s="1"/>
  <c r="AA249"/>
  <c r="AE249" s="1"/>
  <c r="AA202"/>
  <c r="AE202" s="1"/>
  <c r="AA245"/>
  <c r="AE245" s="1"/>
  <c r="AA77"/>
  <c r="AE77" s="1"/>
  <c r="Y168"/>
  <c r="AB168" s="1"/>
  <c r="AC168" s="1"/>
  <c r="Z301"/>
  <c r="AD301" s="1"/>
  <c r="Z32"/>
  <c r="AD32" s="1"/>
  <c r="Z133"/>
  <c r="AD133" s="1"/>
  <c r="Z28"/>
  <c r="AD28" s="1"/>
  <c r="Z130"/>
  <c r="AD130" s="1"/>
  <c r="Z260"/>
  <c r="AD260" s="1"/>
  <c r="Z30"/>
  <c r="AD30" s="1"/>
  <c r="AA173"/>
  <c r="AE173" s="1"/>
  <c r="AA222"/>
  <c r="AE222" s="1"/>
  <c r="AA280"/>
  <c r="AE280" s="1"/>
  <c r="AA136"/>
  <c r="AE136" s="1"/>
  <c r="AA281"/>
  <c r="AE281" s="1"/>
  <c r="AA209"/>
  <c r="AE209" s="1"/>
  <c r="AA290"/>
  <c r="AE290" s="1"/>
  <c r="AA110"/>
  <c r="AE110" s="1"/>
  <c r="AA23"/>
  <c r="AE23" s="1"/>
  <c r="AA131"/>
  <c r="AE131" s="1"/>
  <c r="AA38"/>
  <c r="AA53"/>
  <c r="AE53" s="1"/>
  <c r="AA163"/>
  <c r="AE163" s="1"/>
  <c r="AA155"/>
  <c r="AE155" s="1"/>
  <c r="AA191"/>
  <c r="AE191" s="1"/>
  <c r="AA221"/>
  <c r="AE221" s="1"/>
  <c r="AA79"/>
  <c r="AE79" s="1"/>
  <c r="AA258"/>
  <c r="AE258" s="1"/>
  <c r="AA299"/>
  <c r="AE299" s="1"/>
  <c r="AA217"/>
  <c r="AE217" s="1"/>
  <c r="AA265"/>
  <c r="AE265" s="1"/>
  <c r="AA78"/>
  <c r="AE78" s="1"/>
  <c r="AA89"/>
  <c r="AE89" s="1"/>
  <c r="AA162"/>
  <c r="AE162" s="1"/>
  <c r="Z202"/>
  <c r="AD202" s="1"/>
  <c r="AA142"/>
  <c r="AE142" s="1"/>
  <c r="AA102"/>
  <c r="AE102" s="1"/>
  <c r="AA123"/>
  <c r="AE123" s="1"/>
  <c r="AA229"/>
  <c r="AE229" s="1"/>
  <c r="AA27"/>
  <c r="AE27" s="1"/>
  <c r="AA50"/>
  <c r="AE50" s="1"/>
  <c r="AA52"/>
  <c r="AE52" s="1"/>
  <c r="AA84"/>
  <c r="AE84" s="1"/>
  <c r="AA264"/>
  <c r="AE264" s="1"/>
  <c r="AA272"/>
  <c r="AE272" s="1"/>
  <c r="Y81"/>
  <c r="Y193"/>
  <c r="AB193" s="1"/>
  <c r="AC193" s="1"/>
  <c r="Y83"/>
  <c r="Y86"/>
  <c r="AB86" s="1"/>
  <c r="AC86" s="1"/>
  <c r="Y94"/>
  <c r="AB94" s="1"/>
  <c r="AC94" s="1"/>
  <c r="L47" i="19"/>
  <c r="M47" s="1"/>
  <c r="Z149" i="12"/>
  <c r="AA259"/>
  <c r="AE259" s="1"/>
  <c r="L112" i="15"/>
  <c r="M112" s="1"/>
  <c r="C85" i="1"/>
  <c r="A13" i="17"/>
  <c r="K42" i="1"/>
  <c r="Z24" i="12"/>
  <c r="AD24" s="1"/>
  <c r="Z156"/>
  <c r="AD156" s="1"/>
  <c r="AA165"/>
  <c r="AE165" s="1"/>
  <c r="AA201"/>
  <c r="AE201" s="1"/>
  <c r="AA247"/>
  <c r="AE247" s="1"/>
  <c r="AA157"/>
  <c r="AE157" s="1"/>
  <c r="AA51"/>
  <c r="AE51" s="1"/>
  <c r="AA275"/>
  <c r="AE275" s="1"/>
  <c r="L111" i="15"/>
  <c r="M111" s="1"/>
  <c r="Z201" i="12"/>
  <c r="AD201" s="1"/>
  <c r="Z273"/>
  <c r="Z286"/>
  <c r="AD286" s="1"/>
  <c r="Z111"/>
  <c r="Z143"/>
  <c r="AD143" s="1"/>
  <c r="Z247"/>
  <c r="Z221"/>
  <c r="AD221" s="1"/>
  <c r="AA101"/>
  <c r="AE101" s="1"/>
  <c r="AA234"/>
  <c r="AE234" s="1"/>
  <c r="AA200"/>
  <c r="AE200" s="1"/>
  <c r="AA231"/>
  <c r="AE231" s="1"/>
  <c r="AA143"/>
  <c r="AE143" s="1"/>
  <c r="AA181"/>
  <c r="AE181" s="1"/>
  <c r="AA46"/>
  <c r="AE46" s="1"/>
  <c r="AA246"/>
  <c r="AE246" s="1"/>
  <c r="AA208"/>
  <c r="AE208" s="1"/>
  <c r="AA236"/>
  <c r="AE236" s="1"/>
  <c r="AA60"/>
  <c r="AE60" s="1"/>
  <c r="AA225"/>
  <c r="AE225" s="1"/>
  <c r="AA210"/>
  <c r="AE210" s="1"/>
  <c r="AA56"/>
  <c r="AE56" s="1"/>
  <c r="AA29"/>
  <c r="AE29" s="1"/>
  <c r="AA117"/>
  <c r="AE117" s="1"/>
  <c r="AA278"/>
  <c r="AE278" s="1"/>
  <c r="AA150"/>
  <c r="AE150" s="1"/>
  <c r="AA33"/>
  <c r="AE33" s="1"/>
  <c r="AA141"/>
  <c r="AE141" s="1"/>
  <c r="AA40"/>
  <c r="AE40" s="1"/>
  <c r="AA45"/>
  <c r="AE45" s="1"/>
  <c r="AA262"/>
  <c r="AE262" s="1"/>
  <c r="AA197"/>
  <c r="AE197" s="1"/>
  <c r="AA48"/>
  <c r="AE48" s="1"/>
  <c r="AA64"/>
  <c r="AE64" s="1"/>
  <c r="Z57"/>
  <c r="AD57" s="1"/>
  <c r="AA28"/>
  <c r="AE28" s="1"/>
  <c r="AA224"/>
  <c r="AE224" s="1"/>
  <c r="AA194"/>
  <c r="AE194" s="1"/>
  <c r="AA135"/>
  <c r="AE135" s="1"/>
  <c r="AA235"/>
  <c r="AE235" s="1"/>
  <c r="AA305"/>
  <c r="AE305" s="1"/>
  <c r="AA288"/>
  <c r="AE288" s="1"/>
  <c r="AA126"/>
  <c r="AE126" s="1"/>
  <c r="AA129"/>
  <c r="AE129" s="1"/>
  <c r="AA303"/>
  <c r="AE303" s="1"/>
  <c r="AA240"/>
  <c r="AE240" s="1"/>
  <c r="AA47"/>
  <c r="AE47" s="1"/>
  <c r="AA113"/>
  <c r="AE113" s="1"/>
  <c r="Y210"/>
  <c r="Y237"/>
  <c r="AF237" s="1"/>
  <c r="AG237" s="1"/>
  <c r="Y78"/>
  <c r="Y259"/>
  <c r="L26" i="19"/>
  <c r="M26" s="1"/>
  <c r="Z170" i="12"/>
  <c r="AD170" s="1"/>
  <c r="AA42"/>
  <c r="AE42" s="1"/>
  <c r="L113" i="15"/>
  <c r="M113" s="1"/>
  <c r="L23" i="19"/>
  <c r="M23" s="1"/>
  <c r="L120" i="15"/>
  <c r="M120" s="1"/>
  <c r="Y154" i="12"/>
  <c r="AB154" s="1"/>
  <c r="AC154" s="1"/>
  <c r="A7" i="17"/>
  <c r="Z120" i="12"/>
  <c r="AD120" s="1"/>
  <c r="Z59"/>
  <c r="AD59" s="1"/>
  <c r="Z150"/>
  <c r="AD150" s="1"/>
  <c r="L98" i="15"/>
  <c r="M98" s="1"/>
  <c r="Z252" i="12"/>
  <c r="AD252" s="1"/>
  <c r="AA132"/>
  <c r="AE132" s="1"/>
  <c r="G24" i="2"/>
  <c r="AA63" i="12"/>
  <c r="AE63" s="1"/>
  <c r="AA148"/>
  <c r="AE148" s="1"/>
  <c r="AA164"/>
  <c r="AE164" s="1"/>
  <c r="Y64"/>
  <c r="Z27"/>
  <c r="AD27" s="1"/>
  <c r="Z112"/>
  <c r="AD112" s="1"/>
  <c r="Z180"/>
  <c r="AD180" s="1"/>
  <c r="Z132"/>
  <c r="AD132" s="1"/>
  <c r="Z258"/>
  <c r="AD258" s="1"/>
  <c r="Z184"/>
  <c r="AD184" s="1"/>
  <c r="Z237"/>
  <c r="AD237" s="1"/>
  <c r="Z147"/>
  <c r="AD147" s="1"/>
  <c r="AA34"/>
  <c r="AE34" s="1"/>
  <c r="AA267"/>
  <c r="AE267" s="1"/>
  <c r="AA116"/>
  <c r="AE116" s="1"/>
  <c r="AA282"/>
  <c r="AE282" s="1"/>
  <c r="AA66"/>
  <c r="AE66" s="1"/>
  <c r="AA248"/>
  <c r="AE248" s="1"/>
  <c r="AA122"/>
  <c r="AE122" s="1"/>
  <c r="AA205"/>
  <c r="AE205" s="1"/>
  <c r="AA32"/>
  <c r="AE32" s="1"/>
  <c r="AA31"/>
  <c r="AE31" s="1"/>
  <c r="AA35"/>
  <c r="AE35" s="1"/>
  <c r="AA118"/>
  <c r="AE118" s="1"/>
  <c r="AA146"/>
  <c r="AE146" s="1"/>
  <c r="AA199"/>
  <c r="AE199" s="1"/>
  <c r="AA127"/>
  <c r="AE127" s="1"/>
  <c r="AA55"/>
  <c r="AE55" s="1"/>
  <c r="AA152"/>
  <c r="AE152" s="1"/>
  <c r="AA26"/>
  <c r="AE26" s="1"/>
  <c r="AA285"/>
  <c r="AE285" s="1"/>
  <c r="AA69"/>
  <c r="AE69" s="1"/>
  <c r="Z148"/>
  <c r="AD148" s="1"/>
  <c r="AA286"/>
  <c r="AE286" s="1"/>
  <c r="AA215"/>
  <c r="AE215" s="1"/>
  <c r="AA185"/>
  <c r="AE185" s="1"/>
  <c r="AA97"/>
  <c r="AE97" s="1"/>
  <c r="AA76"/>
  <c r="AE76" s="1"/>
  <c r="AA193"/>
  <c r="AE193" s="1"/>
  <c r="AA170"/>
  <c r="AE170" s="1"/>
  <c r="AA276"/>
  <c r="AE276" s="1"/>
  <c r="G23" i="2"/>
  <c r="AA243" i="12"/>
  <c r="AE243" s="1"/>
  <c r="Y277"/>
  <c r="Y66"/>
  <c r="Y135"/>
  <c r="Y219"/>
  <c r="AF219" s="1"/>
  <c r="AG219" s="1"/>
  <c r="L39" i="19"/>
  <c r="M39" s="1"/>
  <c r="Z173" i="12"/>
  <c r="AD173" s="1"/>
  <c r="AA144"/>
  <c r="AE144" s="1"/>
  <c r="L99" i="15"/>
  <c r="M99" s="1"/>
  <c r="L27" i="19"/>
  <c r="M27" s="1"/>
  <c r="L89" i="15"/>
  <c r="M89" s="1"/>
  <c r="L44" i="19"/>
  <c r="M44" s="1"/>
  <c r="Y40" i="12"/>
  <c r="AB40" s="1"/>
  <c r="AC40" s="1"/>
  <c r="L97" i="15"/>
  <c r="M97" s="1"/>
  <c r="Z264" i="12"/>
  <c r="AD264" s="1"/>
  <c r="Z140"/>
  <c r="L118" i="15"/>
  <c r="M118" s="1"/>
  <c r="C33" i="9"/>
  <c r="E26" i="1" s="1"/>
  <c r="F26" s="1"/>
  <c r="C36" i="9"/>
  <c r="E31" i="18" s="1"/>
  <c r="AA103" i="12"/>
  <c r="AE103" s="1"/>
  <c r="AA204"/>
  <c r="AE204" s="1"/>
  <c r="AA306"/>
  <c r="AE306" s="1"/>
  <c r="AA91"/>
  <c r="AE91" s="1"/>
  <c r="AA207"/>
  <c r="AE207" s="1"/>
  <c r="AA72"/>
  <c r="AE72" s="1"/>
  <c r="AA266"/>
  <c r="AE266" s="1"/>
  <c r="Z86"/>
  <c r="AD86" s="1"/>
  <c r="Z191"/>
  <c r="AD191" s="1"/>
  <c r="Z290"/>
  <c r="AD290" s="1"/>
  <c r="Z223"/>
  <c r="AD223" s="1"/>
  <c r="AA105"/>
  <c r="AE105" s="1"/>
  <c r="AA68"/>
  <c r="AE68" s="1"/>
  <c r="AA192"/>
  <c r="AE192" s="1"/>
  <c r="AA250"/>
  <c r="AE250" s="1"/>
  <c r="AA294"/>
  <c r="AE294" s="1"/>
  <c r="AA158"/>
  <c r="AE158" s="1"/>
  <c r="AA212"/>
  <c r="AE212" s="1"/>
  <c r="AA65"/>
  <c r="AE65" s="1"/>
  <c r="AA169"/>
  <c r="AE169" s="1"/>
  <c r="AA54"/>
  <c r="AE54" s="1"/>
  <c r="AA270"/>
  <c r="AE270" s="1"/>
  <c r="AA49"/>
  <c r="AE49" s="1"/>
  <c r="AA61"/>
  <c r="AE61" s="1"/>
  <c r="AA187"/>
  <c r="AE187" s="1"/>
  <c r="AA112"/>
  <c r="AE112" s="1"/>
  <c r="AA75"/>
  <c r="AE75" s="1"/>
  <c r="AA57"/>
  <c r="AE57" s="1"/>
  <c r="AA298"/>
  <c r="AE298" s="1"/>
  <c r="AA90"/>
  <c r="AE90" s="1"/>
  <c r="AA293"/>
  <c r="AE293" s="1"/>
  <c r="AA30"/>
  <c r="AE30" s="1"/>
  <c r="AA269"/>
  <c r="AE269" s="1"/>
  <c r="AA43"/>
  <c r="AE43" s="1"/>
  <c r="AA108"/>
  <c r="AE108" s="1"/>
  <c r="Z101"/>
  <c r="AD101" s="1"/>
  <c r="AA182"/>
  <c r="AE182" s="1"/>
  <c r="AA153"/>
  <c r="AE153" s="1"/>
  <c r="AA166"/>
  <c r="AE166" s="1"/>
  <c r="AA190"/>
  <c r="AE190" s="1"/>
  <c r="AA183"/>
  <c r="AE183" s="1"/>
  <c r="AA218"/>
  <c r="AE218" s="1"/>
  <c r="AA253"/>
  <c r="AE253" s="1"/>
  <c r="AA203"/>
  <c r="AE203" s="1"/>
  <c r="AA138"/>
  <c r="AE138" s="1"/>
  <c r="AA87"/>
  <c r="AE87" s="1"/>
  <c r="AA283"/>
  <c r="AE283" s="1"/>
  <c r="AA137"/>
  <c r="AE137" s="1"/>
  <c r="Y96"/>
  <c r="Y173"/>
  <c r="AB173" s="1"/>
  <c r="AC173" s="1"/>
  <c r="Y261"/>
  <c r="AB261" s="1"/>
  <c r="AC261" s="1"/>
  <c r="Y296"/>
  <c r="L28" i="19"/>
  <c r="M28" s="1"/>
  <c r="Z36" i="12"/>
  <c r="AD36" s="1"/>
  <c r="AA211"/>
  <c r="AE211" s="1"/>
  <c r="L94" i="15"/>
  <c r="M94" s="1"/>
  <c r="Y195" i="12"/>
  <c r="AB195" s="1"/>
  <c r="AC195" s="1"/>
  <c r="Z283"/>
  <c r="AD283" s="1"/>
  <c r="AA62"/>
  <c r="AE62" s="1"/>
  <c r="AA161"/>
  <c r="AE161" s="1"/>
  <c r="AA195"/>
  <c r="AE195" s="1"/>
  <c r="AA104"/>
  <c r="AE104" s="1"/>
  <c r="Y165"/>
  <c r="AB165" s="1"/>
  <c r="AC165" s="1"/>
  <c r="L100" i="15"/>
  <c r="M100" s="1"/>
  <c r="Z231" i="12"/>
  <c r="AD231" s="1"/>
  <c r="Z175"/>
  <c r="AD175" s="1"/>
  <c r="Z293"/>
  <c r="AB33"/>
  <c r="AC33" s="1"/>
  <c r="N17" i="4"/>
  <c r="Z242" i="12"/>
  <c r="AD242" s="1"/>
  <c r="Z93"/>
  <c r="AD93" s="1"/>
  <c r="Z38"/>
  <c r="AD38" s="1"/>
  <c r="Z68"/>
  <c r="AD68" s="1"/>
  <c r="Z263"/>
  <c r="AD263" s="1"/>
  <c r="Z100"/>
  <c r="AD100" s="1"/>
  <c r="Z53"/>
  <c r="AD53" s="1"/>
  <c r="AA88"/>
  <c r="AE88" s="1"/>
  <c r="AA300"/>
  <c r="AE300" s="1"/>
  <c r="AA120"/>
  <c r="AE120" s="1"/>
  <c r="AA176"/>
  <c r="AE176" s="1"/>
  <c r="AA67"/>
  <c r="AE67" s="1"/>
  <c r="AA130"/>
  <c r="AE130" s="1"/>
  <c r="AA147"/>
  <c r="AE147" s="1"/>
  <c r="AA214"/>
  <c r="AE214" s="1"/>
  <c r="AA167"/>
  <c r="AE167" s="1"/>
  <c r="AA172"/>
  <c r="AE172" s="1"/>
  <c r="AA156"/>
  <c r="AE156" s="1"/>
  <c r="AA145"/>
  <c r="AE145" s="1"/>
  <c r="AA44"/>
  <c r="AE44" s="1"/>
  <c r="AA73"/>
  <c r="AE73" s="1"/>
  <c r="AA307"/>
  <c r="AE307" s="1"/>
  <c r="AA279"/>
  <c r="AE279" s="1"/>
  <c r="AA220"/>
  <c r="AE220" s="1"/>
  <c r="AA99"/>
  <c r="AE99" s="1"/>
  <c r="AA74"/>
  <c r="AE74" s="1"/>
  <c r="AA106"/>
  <c r="AE106" s="1"/>
  <c r="AA274"/>
  <c r="AE274" s="1"/>
  <c r="Z145"/>
  <c r="AD145" s="1"/>
  <c r="AA121"/>
  <c r="AE121" s="1"/>
  <c r="AA36"/>
  <c r="AE36" s="1"/>
  <c r="AA301"/>
  <c r="AE301" s="1"/>
  <c r="AA80"/>
  <c r="AE80" s="1"/>
  <c r="AA92"/>
  <c r="AE92" s="1"/>
  <c r="AA98"/>
  <c r="AE98" s="1"/>
  <c r="AA297"/>
  <c r="AE297" s="1"/>
  <c r="AA242"/>
  <c r="AE242" s="1"/>
  <c r="AA128"/>
  <c r="AE128" s="1"/>
  <c r="AA85"/>
  <c r="AE85" s="1"/>
  <c r="AA254"/>
  <c r="AE254" s="1"/>
  <c r="AA304"/>
  <c r="AE304" s="1"/>
  <c r="Y291"/>
  <c r="AB291" s="1"/>
  <c r="AC291" s="1"/>
  <c r="Y244"/>
  <c r="Y192"/>
  <c r="Z74"/>
  <c r="AD74" s="1"/>
  <c r="L121" i="15"/>
  <c r="M121" s="1"/>
  <c r="AB265" i="12"/>
  <c r="AC265" s="1"/>
  <c r="AF265"/>
  <c r="AG265" s="1"/>
  <c r="AF94"/>
  <c r="AG94" s="1"/>
  <c r="AF276"/>
  <c r="AG276" s="1"/>
  <c r="AB276"/>
  <c r="AC276" s="1"/>
  <c r="M73" i="19"/>
  <c r="M12"/>
  <c r="Y158" i="12"/>
  <c r="AF158" s="1"/>
  <c r="AG158" s="1"/>
  <c r="Y270"/>
  <c r="Y230"/>
  <c r="Y62"/>
  <c r="AB62" s="1"/>
  <c r="AC62" s="1"/>
  <c r="Y54"/>
  <c r="M11" i="15"/>
  <c r="L23" s="1"/>
  <c r="M23" s="1"/>
  <c r="Y187" i="12"/>
  <c r="Y206"/>
  <c r="Y48"/>
  <c r="Y280"/>
  <c r="Y102"/>
  <c r="Y218"/>
  <c r="Y281"/>
  <c r="Y148"/>
  <c r="Y274"/>
  <c r="Y247"/>
  <c r="Y223"/>
  <c r="Y283"/>
  <c r="Y109"/>
  <c r="Y308"/>
  <c r="M83" i="15"/>
  <c r="Y73" i="12"/>
  <c r="Y159"/>
  <c r="Y133"/>
  <c r="Y67"/>
  <c r="Y189"/>
  <c r="Y141"/>
  <c r="Y250"/>
  <c r="Y46"/>
  <c r="Y129"/>
  <c r="Y275"/>
  <c r="Y99"/>
  <c r="Y150"/>
  <c r="Y72"/>
  <c r="Y279"/>
  <c r="Y92"/>
  <c r="L11" i="17"/>
  <c r="Y52" i="12"/>
  <c r="Y145"/>
  <c r="Y178"/>
  <c r="Y266"/>
  <c r="Y101"/>
  <c r="Y56"/>
  <c r="Y163"/>
  <c r="Y302"/>
  <c r="Y25"/>
  <c r="Y170"/>
  <c r="Y65"/>
  <c r="Y256"/>
  <c r="Y131"/>
  <c r="Y304"/>
  <c r="Y37"/>
  <c r="Y106"/>
  <c r="Y249"/>
  <c r="Y76"/>
  <c r="Y47"/>
  <c r="Y119"/>
  <c r="Y93"/>
  <c r="L15" i="1"/>
  <c r="E22" s="1"/>
  <c r="F22" s="1"/>
  <c r="Y132" i="12"/>
  <c r="Y264"/>
  <c r="Y221"/>
  <c r="Y55"/>
  <c r="Y63"/>
  <c r="Y198"/>
  <c r="Y188"/>
  <c r="Y204"/>
  <c r="Y235"/>
  <c r="Y85"/>
  <c r="Y292"/>
  <c r="Y110"/>
  <c r="Y120"/>
  <c r="Y253"/>
  <c r="Y171"/>
  <c r="Y285"/>
  <c r="Y134"/>
  <c r="Y50"/>
  <c r="Y174"/>
  <c r="AB174" s="1"/>
  <c r="AC174" s="1"/>
  <c r="Y143"/>
  <c r="Y149"/>
  <c r="Y179"/>
  <c r="Y207"/>
  <c r="Y130"/>
  <c r="Y26"/>
  <c r="Y216"/>
  <c r="Y111"/>
  <c r="Y80"/>
  <c r="Y226"/>
  <c r="Y305"/>
  <c r="Y248"/>
  <c r="Y139"/>
  <c r="Y176"/>
  <c r="Y267"/>
  <c r="Y299"/>
  <c r="Y251"/>
  <c r="Y124"/>
  <c r="Y24"/>
  <c r="Y269"/>
  <c r="Y147"/>
  <c r="Y255"/>
  <c r="Y286"/>
  <c r="Y166"/>
  <c r="Y43"/>
  <c r="Y175"/>
  <c r="Y262"/>
  <c r="Y282"/>
  <c r="Y241"/>
  <c r="Y194"/>
  <c r="Y273"/>
  <c r="Y122"/>
  <c r="Y272"/>
  <c r="Y84"/>
  <c r="AF84" s="1"/>
  <c r="AG84" s="1"/>
  <c r="Y87"/>
  <c r="AF87" s="1"/>
  <c r="AG87" s="1"/>
  <c r="Y301"/>
  <c r="AF301" s="1"/>
  <c r="AG301" s="1"/>
  <c r="Y263"/>
  <c r="Y183"/>
  <c r="Y294"/>
  <c r="Y127"/>
  <c r="Y74"/>
  <c r="Y60"/>
  <c r="Y58"/>
  <c r="Y161"/>
  <c r="L77" i="1"/>
  <c r="E100" s="1"/>
  <c r="F100" s="1"/>
  <c r="Y180" i="12"/>
  <c r="Y107"/>
  <c r="Y268"/>
  <c r="Y290"/>
  <c r="Y34"/>
  <c r="Y123"/>
  <c r="Y177"/>
  <c r="Y42"/>
  <c r="Y246"/>
  <c r="Y224"/>
  <c r="Y45"/>
  <c r="Y295"/>
  <c r="Y228"/>
  <c r="Y71"/>
  <c r="Y239"/>
  <c r="Y197"/>
  <c r="Y142"/>
  <c r="Y138"/>
  <c r="Y146"/>
  <c r="L18" i="18"/>
  <c r="Y284" i="12"/>
  <c r="Y152"/>
  <c r="Y38"/>
  <c r="Y190"/>
  <c r="Y211"/>
  <c r="Y212"/>
  <c r="Y307"/>
  <c r="Y201"/>
  <c r="Y49"/>
  <c r="Y254"/>
  <c r="Y298"/>
  <c r="Y214"/>
  <c r="Y233"/>
  <c r="Y155"/>
  <c r="Y242"/>
  <c r="Y69"/>
  <c r="Y68"/>
  <c r="Y103"/>
  <c r="Y297"/>
  <c r="Y32"/>
  <c r="Y75"/>
  <c r="Y27"/>
  <c r="L15" i="2"/>
  <c r="Y172" i="12"/>
  <c r="Y128"/>
  <c r="Y61"/>
  <c r="Y126"/>
  <c r="Y186"/>
  <c r="Y169"/>
  <c r="Y184"/>
  <c r="Y100"/>
  <c r="Y114"/>
  <c r="Y153"/>
  <c r="Y205"/>
  <c r="Y232"/>
  <c r="Y238"/>
  <c r="Y288"/>
  <c r="Y245"/>
  <c r="Y125"/>
  <c r="Y162"/>
  <c r="Y136"/>
  <c r="Y53"/>
  <c r="Y222"/>
  <c r="Y231"/>
  <c r="Y22"/>
  <c r="AB22" s="1"/>
  <c r="AC22" s="1"/>
  <c r="Y240"/>
  <c r="Y293"/>
  <c r="AB293" s="1"/>
  <c r="AC293" s="1"/>
  <c r="Y257"/>
  <c r="Y199"/>
  <c r="Y278"/>
  <c r="Y213"/>
  <c r="Y287"/>
  <c r="Y44"/>
  <c r="Y41"/>
  <c r="Y271"/>
  <c r="Y200"/>
  <c r="Y306"/>
  <c r="Y229"/>
  <c r="Y89"/>
  <c r="Y196"/>
  <c r="Y31"/>
  <c r="Y51"/>
  <c r="Y225"/>
  <c r="Y157"/>
  <c r="Y137"/>
  <c r="Y260"/>
  <c r="Y91"/>
  <c r="Y182"/>
  <c r="Y113"/>
  <c r="Y144"/>
  <c r="Y164"/>
  <c r="Y98"/>
  <c r="Y77"/>
  <c r="Y185"/>
  <c r="Y95"/>
  <c r="Y36"/>
  <c r="Y90"/>
  <c r="Y289"/>
  <c r="Y79"/>
  <c r="Y208"/>
  <c r="Y140"/>
  <c r="Y156"/>
  <c r="Y117"/>
  <c r="Y258"/>
  <c r="Y217"/>
  <c r="Y151"/>
  <c r="Y28"/>
  <c r="Y220"/>
  <c r="Y160"/>
  <c r="Y35"/>
  <c r="Y215"/>
  <c r="Y104"/>
  <c r="Y202"/>
  <c r="Y181"/>
  <c r="Y97"/>
  <c r="Y191"/>
  <c r="Y115"/>
  <c r="Y108"/>
  <c r="Y121"/>
  <c r="Y227"/>
  <c r="Y234"/>
  <c r="Y112"/>
  <c r="Y29"/>
  <c r="Y59"/>
  <c r="Y236"/>
  <c r="Y39"/>
  <c r="Y70"/>
  <c r="Y300"/>
  <c r="Y82"/>
  <c r="Y203"/>
  <c r="Y252"/>
  <c r="Y167"/>
  <c r="Y105"/>
  <c r="Y88"/>
  <c r="Y116"/>
  <c r="Y23"/>
  <c r="AF165"/>
  <c r="AG165" s="1"/>
  <c r="AB21"/>
  <c r="AC21" s="1"/>
  <c r="AB30"/>
  <c r="AF30"/>
  <c r="AG30" s="1"/>
  <c r="AB64"/>
  <c r="AC64" s="1"/>
  <c r="AF64"/>
  <c r="AG64" s="1"/>
  <c r="AB209"/>
  <c r="AC209" s="1"/>
  <c r="AF209"/>
  <c r="AG209" s="1"/>
  <c r="AD29"/>
  <c r="AF277"/>
  <c r="AG277" s="1"/>
  <c r="AB277"/>
  <c r="AF86"/>
  <c r="L26" i="15"/>
  <c r="M26" s="1"/>
  <c r="Z216" i="12"/>
  <c r="Z141"/>
  <c r="AD141" s="1"/>
  <c r="Z69"/>
  <c r="Z250"/>
  <c r="AD250" s="1"/>
  <c r="AA111"/>
  <c r="AE111" s="1"/>
  <c r="AA41"/>
  <c r="AE41" s="1"/>
  <c r="I16" i="19"/>
  <c r="Z181" i="12"/>
  <c r="AD181" s="1"/>
  <c r="Z193"/>
  <c r="AA219"/>
  <c r="AE219" s="1"/>
  <c r="AA289"/>
  <c r="AE289" s="1"/>
  <c r="Z123"/>
  <c r="AD123" s="1"/>
  <c r="Z228"/>
  <c r="AD228" s="1"/>
  <c r="AA140"/>
  <c r="AE140" s="1"/>
  <c r="Z168"/>
  <c r="AD168" s="1"/>
  <c r="C21" i="1"/>
  <c r="AD261" i="12"/>
  <c r="AD273"/>
  <c r="L49" i="15"/>
  <c r="M49" s="1"/>
  <c r="L25"/>
  <c r="M25" s="1"/>
  <c r="L27"/>
  <c r="M27" s="1"/>
  <c r="L28"/>
  <c r="M28" s="1"/>
  <c r="L41"/>
  <c r="M41" s="1"/>
  <c r="L48"/>
  <c r="M48" s="1"/>
  <c r="L22"/>
  <c r="M22" s="1"/>
  <c r="L46"/>
  <c r="M46" s="1"/>
  <c r="AD247" i="12"/>
  <c r="B29" i="2"/>
  <c r="D21"/>
  <c r="B45"/>
  <c r="B49"/>
  <c r="AD111" i="12"/>
  <c r="AE59"/>
  <c r="AD149"/>
  <c r="AP286"/>
  <c r="AE38"/>
  <c r="L19" i="4"/>
  <c r="N19"/>
  <c r="R9" i="12"/>
  <c r="AD293"/>
  <c r="M18" i="19"/>
  <c r="S9" i="12"/>
  <c r="Q9"/>
  <c r="F12" i="4"/>
  <c r="G12" s="1"/>
  <c r="F14"/>
  <c r="G14" s="1"/>
  <c r="F11"/>
  <c r="G11" s="1"/>
  <c r="F13"/>
  <c r="G13" s="1"/>
  <c r="F10"/>
  <c r="G10" s="1"/>
  <c r="F16"/>
  <c r="G16" s="1"/>
  <c r="F15"/>
  <c r="G15" s="1"/>
  <c r="F17"/>
  <c r="G17" s="1"/>
  <c r="Z229" i="12"/>
  <c r="Z230"/>
  <c r="Z137"/>
  <c r="AD140"/>
  <c r="Z186"/>
  <c r="Z165"/>
  <c r="M12" i="4"/>
  <c r="M10"/>
  <c r="M18"/>
  <c r="M15"/>
  <c r="M13"/>
  <c r="M11"/>
  <c r="M14"/>
  <c r="M16"/>
  <c r="Z110" i="12"/>
  <c r="F26" i="2"/>
  <c r="F45"/>
  <c r="Z138" i="12"/>
  <c r="Z44"/>
  <c r="Z43"/>
  <c r="Z125"/>
  <c r="Z308"/>
  <c r="Z71"/>
  <c r="Z22"/>
  <c r="Z203"/>
  <c r="Z211"/>
  <c r="Z169"/>
  <c r="Z25"/>
  <c r="Z249"/>
  <c r="Z167"/>
  <c r="Z64"/>
  <c r="Z209"/>
  <c r="Z162"/>
  <c r="Z174"/>
  <c r="Z248"/>
  <c r="Z189"/>
  <c r="Z240"/>
  <c r="Z45"/>
  <c r="Z61"/>
  <c r="Z124"/>
  <c r="Z119"/>
  <c r="Z90"/>
  <c r="Z212"/>
  <c r="Z127"/>
  <c r="Z55"/>
  <c r="Z307"/>
  <c r="Z303"/>
  <c r="Z281"/>
  <c r="C34" i="9"/>
  <c r="Z265" i="12"/>
  <c r="Z31"/>
  <c r="Z195"/>
  <c r="Z107"/>
  <c r="Z91"/>
  <c r="Z241"/>
  <c r="Z54"/>
  <c r="Z78"/>
  <c r="Z256"/>
  <c r="Z70"/>
  <c r="Z104"/>
  <c r="Z179"/>
  <c r="Z243"/>
  <c r="Z139"/>
  <c r="Z208"/>
  <c r="Z188"/>
  <c r="Z66"/>
  <c r="Z299"/>
  <c r="Z142"/>
  <c r="Z295"/>
  <c r="Z75"/>
  <c r="Z164"/>
  <c r="Z166"/>
  <c r="Z274"/>
  <c r="Z292"/>
  <c r="Z109"/>
  <c r="Z163"/>
  <c r="Z49"/>
  <c r="Z285"/>
  <c r="Z62"/>
  <c r="Z146"/>
  <c r="Z155"/>
  <c r="Z268"/>
  <c r="Z279"/>
  <c r="Z115"/>
  <c r="Z118"/>
  <c r="Z236"/>
  <c r="Z126"/>
  <c r="Z98"/>
  <c r="Z92"/>
  <c r="Z183"/>
  <c r="Z154"/>
  <c r="Z287"/>
  <c r="Z82"/>
  <c r="Z213"/>
  <c r="Z224"/>
  <c r="Z245"/>
  <c r="Z257"/>
  <c r="Z194"/>
  <c r="Z58"/>
  <c r="Z144"/>
  <c r="Z76"/>
  <c r="Z238"/>
  <c r="Z255"/>
  <c r="Z81"/>
  <c r="Z239"/>
  <c r="Z233"/>
  <c r="Z135"/>
  <c r="Z253"/>
  <c r="Z152"/>
  <c r="Z185"/>
  <c r="Z89"/>
  <c r="Z117"/>
  <c r="Z83"/>
  <c r="Z103"/>
  <c r="Z269"/>
  <c r="Z171"/>
  <c r="Z158"/>
  <c r="Z254"/>
  <c r="Z222"/>
  <c r="Z226"/>
  <c r="Z77"/>
  <c r="Z114"/>
  <c r="Z267"/>
  <c r="Z207"/>
  <c r="Z121"/>
  <c r="Z284"/>
  <c r="Z190"/>
  <c r="Z196"/>
  <c r="Z306"/>
  <c r="Z34"/>
  <c r="Z178"/>
  <c r="Z51"/>
  <c r="Z37"/>
  <c r="Z73"/>
  <c r="Z176"/>
  <c r="Z157"/>
  <c r="Z97"/>
  <c r="Z246"/>
  <c r="Z161"/>
  <c r="Z266"/>
  <c r="Z122"/>
  <c r="C38" i="9"/>
  <c r="Z105" i="12"/>
  <c r="Z275"/>
  <c r="Z192"/>
  <c r="Z289"/>
  <c r="Z235"/>
  <c r="Z288"/>
  <c r="Z272"/>
  <c r="Z227"/>
  <c r="Z67"/>
  <c r="Z84"/>
  <c r="Z136"/>
  <c r="Z300"/>
  <c r="Z95"/>
  <c r="Z63"/>
  <c r="Z106"/>
  <c r="Z232"/>
  <c r="Z41"/>
  <c r="Z21"/>
  <c r="Z187"/>
  <c r="Z214"/>
  <c r="Z294"/>
  <c r="Z159"/>
  <c r="Z215"/>
  <c r="Z65"/>
  <c r="Z225"/>
  <c r="Z302"/>
  <c r="Z26"/>
  <c r="Z94"/>
  <c r="Z204"/>
  <c r="Z198"/>
  <c r="Z259"/>
  <c r="Z297"/>
  <c r="Z33"/>
  <c r="Z79"/>
  <c r="Z298"/>
  <c r="Z153"/>
  <c r="Z304"/>
  <c r="Z56"/>
  <c r="Z131"/>
  <c r="Z129"/>
  <c r="Z39"/>
  <c r="Z205"/>
  <c r="Z199"/>
  <c r="Z116"/>
  <c r="Z151"/>
  <c r="Z40"/>
  <c r="Z220"/>
  <c r="Z206"/>
  <c r="Z87"/>
  <c r="Z172"/>
  <c r="Z48"/>
  <c r="Z47"/>
  <c r="Z262"/>
  <c r="Z108"/>
  <c r="Z219"/>
  <c r="Z99"/>
  <c r="Z96"/>
  <c r="Z218"/>
  <c r="Z80"/>
  <c r="Z200"/>
  <c r="Z217"/>
  <c r="Z85"/>
  <c r="Z182"/>
  <c r="Z72"/>
  <c r="Z197"/>
  <c r="Z88"/>
  <c r="Z296"/>
  <c r="Z271"/>
  <c r="Z234"/>
  <c r="Z291"/>
  <c r="Z113"/>
  <c r="Z210"/>
  <c r="Z60"/>
  <c r="Z52"/>
  <c r="Z23"/>
  <c r="Z282"/>
  <c r="Z276"/>
  <c r="Z128"/>
  <c r="Z305"/>
  <c r="Z42"/>
  <c r="Z160"/>
  <c r="L35" i="15"/>
  <c r="M35" s="1"/>
  <c r="L128"/>
  <c r="M128" s="1"/>
  <c r="L31"/>
  <c r="M31" s="1"/>
  <c r="L43"/>
  <c r="M43" s="1"/>
  <c r="L30"/>
  <c r="M30" s="1"/>
  <c r="L50"/>
  <c r="M50" s="1"/>
  <c r="L51"/>
  <c r="M51" s="1"/>
  <c r="AB158" i="12"/>
  <c r="AC158" s="1"/>
  <c r="Z278"/>
  <c r="AB243" l="1"/>
  <c r="AC243" s="1"/>
  <c r="AB84"/>
  <c r="AC84" s="1"/>
  <c r="E37" i="18"/>
  <c r="E35"/>
  <c r="AF303" i="12"/>
  <c r="AG303" s="1"/>
  <c r="E29" i="18"/>
  <c r="E27"/>
  <c r="AF193" i="12"/>
  <c r="AG193" s="1"/>
  <c r="E32" i="18"/>
  <c r="AF293" i="12"/>
  <c r="AG293" s="1"/>
  <c r="AF174"/>
  <c r="AG174" s="1"/>
  <c r="L52" i="15"/>
  <c r="M52" s="1"/>
  <c r="AF154" i="12"/>
  <c r="AG154" s="1"/>
  <c r="L18" i="15"/>
  <c r="AF195" i="12"/>
  <c r="AG195" s="1"/>
  <c r="AF62"/>
  <c r="AG62" s="1"/>
  <c r="L17" i="15"/>
  <c r="M17" s="1"/>
  <c r="L40"/>
  <c r="M40" s="1"/>
  <c r="L39"/>
  <c r="M39" s="1"/>
  <c r="E27" i="1"/>
  <c r="F27" s="1"/>
  <c r="AF261" i="12"/>
  <c r="AG261" s="1"/>
  <c r="E36" i="18"/>
  <c r="E36" i="1"/>
  <c r="F36" s="1"/>
  <c r="AB237" i="12"/>
  <c r="AC237" s="1"/>
  <c r="AF168"/>
  <c r="AG168" s="1"/>
  <c r="AF57"/>
  <c r="AG57" s="1"/>
  <c r="AB57"/>
  <c r="AC57" s="1"/>
  <c r="AF40"/>
  <c r="AG40" s="1"/>
  <c r="AF118"/>
  <c r="AG118" s="1"/>
  <c r="E31" i="1"/>
  <c r="F31" s="1"/>
  <c r="AF173" i="12"/>
  <c r="AG173" s="1"/>
  <c r="AB219"/>
  <c r="AC219" s="1"/>
  <c r="AF291"/>
  <c r="AG291" s="1"/>
  <c r="AB301"/>
  <c r="AC301" s="1"/>
  <c r="AF81"/>
  <c r="AG81" s="1"/>
  <c r="AB81"/>
  <c r="AC81" s="1"/>
  <c r="E32" i="1"/>
  <c r="F32" s="1"/>
  <c r="E24"/>
  <c r="F24" s="1"/>
  <c r="E30"/>
  <c r="F30" s="1"/>
  <c r="AF83" i="12"/>
  <c r="AG83" s="1"/>
  <c r="AB83"/>
  <c r="AC83" s="1"/>
  <c r="AH293"/>
  <c r="E39" i="1"/>
  <c r="F39" s="1"/>
  <c r="AB66" i="12"/>
  <c r="AC66" s="1"/>
  <c r="AF66"/>
  <c r="AG66" s="1"/>
  <c r="AF244"/>
  <c r="AG244" s="1"/>
  <c r="AB244"/>
  <c r="AB96"/>
  <c r="AC96" s="1"/>
  <c r="AF96"/>
  <c r="AG96" s="1"/>
  <c r="AF135"/>
  <c r="AG135" s="1"/>
  <c r="AB135"/>
  <c r="AC135" s="1"/>
  <c r="AB210"/>
  <c r="AC210" s="1"/>
  <c r="AF210"/>
  <c r="AG210" s="1"/>
  <c r="AB192"/>
  <c r="AC192" s="1"/>
  <c r="AF192"/>
  <c r="AG192" s="1"/>
  <c r="AF78"/>
  <c r="AG78" s="1"/>
  <c r="AB78"/>
  <c r="AC78" s="1"/>
  <c r="G25" i="2"/>
  <c r="AB296" i="12"/>
  <c r="AC296" s="1"/>
  <c r="AF296"/>
  <c r="AG296" s="1"/>
  <c r="AF259"/>
  <c r="AG259" s="1"/>
  <c r="AB259"/>
  <c r="AC259" s="1"/>
  <c r="AB136"/>
  <c r="AC136" s="1"/>
  <c r="AF136"/>
  <c r="AG136" s="1"/>
  <c r="AB133"/>
  <c r="AF133"/>
  <c r="AF88"/>
  <c r="AG88" s="1"/>
  <c r="AB88"/>
  <c r="AC88" s="1"/>
  <c r="AB39"/>
  <c r="AC39" s="1"/>
  <c r="AF39"/>
  <c r="AG39" s="1"/>
  <c r="AB108"/>
  <c r="AC108" s="1"/>
  <c r="AF108"/>
  <c r="AG108" s="1"/>
  <c r="AF35"/>
  <c r="AG35" s="1"/>
  <c r="AB35"/>
  <c r="AB156"/>
  <c r="AF156"/>
  <c r="AG156" s="1"/>
  <c r="AB185"/>
  <c r="AC185" s="1"/>
  <c r="AF185"/>
  <c r="AG185" s="1"/>
  <c r="AB260"/>
  <c r="AF260"/>
  <c r="AG260" s="1"/>
  <c r="AF229"/>
  <c r="AG229" s="1"/>
  <c r="AB229"/>
  <c r="AC229" s="1"/>
  <c r="AF278"/>
  <c r="AG278" s="1"/>
  <c r="AB278"/>
  <c r="AC278" s="1"/>
  <c r="AF53"/>
  <c r="AG53" s="1"/>
  <c r="AB53"/>
  <c r="AF205"/>
  <c r="AG205" s="1"/>
  <c r="AB205"/>
  <c r="AC205" s="1"/>
  <c r="AF61"/>
  <c r="AG61" s="1"/>
  <c r="AB61"/>
  <c r="AC61" s="1"/>
  <c r="AF103"/>
  <c r="AG103" s="1"/>
  <c r="AB103"/>
  <c r="AC103" s="1"/>
  <c r="AF254"/>
  <c r="AG254" s="1"/>
  <c r="AB254"/>
  <c r="AC254" s="1"/>
  <c r="AB152"/>
  <c r="AC152" s="1"/>
  <c r="AF152"/>
  <c r="AG152" s="1"/>
  <c r="AF71"/>
  <c r="AG71" s="1"/>
  <c r="AB71"/>
  <c r="AC71" s="1"/>
  <c r="AB123"/>
  <c r="AF123"/>
  <c r="AG123" s="1"/>
  <c r="AF58"/>
  <c r="AG58" s="1"/>
  <c r="AB58"/>
  <c r="AC58" s="1"/>
  <c r="AB262"/>
  <c r="AC262" s="1"/>
  <c r="AF262"/>
  <c r="AG262" s="1"/>
  <c r="AF24"/>
  <c r="AG24" s="1"/>
  <c r="AB24"/>
  <c r="AB305"/>
  <c r="AC305" s="1"/>
  <c r="AF305"/>
  <c r="AG305" s="1"/>
  <c r="AF179"/>
  <c r="AG179" s="1"/>
  <c r="AB179"/>
  <c r="AC179" s="1"/>
  <c r="AB253"/>
  <c r="AC253" s="1"/>
  <c r="AF253"/>
  <c r="AG253" s="1"/>
  <c r="AF198"/>
  <c r="AG198" s="1"/>
  <c r="AB198"/>
  <c r="AC198" s="1"/>
  <c r="AB119"/>
  <c r="AC119" s="1"/>
  <c r="AF119"/>
  <c r="AG119" s="1"/>
  <c r="AB256"/>
  <c r="AC256" s="1"/>
  <c r="AF256"/>
  <c r="AG256" s="1"/>
  <c r="AB266"/>
  <c r="AC266" s="1"/>
  <c r="AF266"/>
  <c r="AG266" s="1"/>
  <c r="AF150"/>
  <c r="AG150" s="1"/>
  <c r="AB150"/>
  <c r="AF67"/>
  <c r="AG67" s="1"/>
  <c r="AB67"/>
  <c r="AC67" s="1"/>
  <c r="AF223"/>
  <c r="AG223" s="1"/>
  <c r="AB223"/>
  <c r="AF48"/>
  <c r="AG48" s="1"/>
  <c r="AB48"/>
  <c r="AC48" s="1"/>
  <c r="AB49"/>
  <c r="AC49" s="1"/>
  <c r="AF49"/>
  <c r="AG49" s="1"/>
  <c r="AD69"/>
  <c r="AB116"/>
  <c r="AC116" s="1"/>
  <c r="AF116"/>
  <c r="AG116" s="1"/>
  <c r="AF70"/>
  <c r="AG70" s="1"/>
  <c r="AB70"/>
  <c r="AC70" s="1"/>
  <c r="AF121"/>
  <c r="AG121" s="1"/>
  <c r="AB121"/>
  <c r="AC121" s="1"/>
  <c r="AB215"/>
  <c r="AC215" s="1"/>
  <c r="AF215"/>
  <c r="AG215" s="1"/>
  <c r="AB117"/>
  <c r="AC117" s="1"/>
  <c r="AF117"/>
  <c r="AG117" s="1"/>
  <c r="AF95"/>
  <c r="AG95" s="1"/>
  <c r="AB95"/>
  <c r="AC95" s="1"/>
  <c r="AF91"/>
  <c r="AG91" s="1"/>
  <c r="AB91"/>
  <c r="AC91" s="1"/>
  <c r="AB89"/>
  <c r="AC89" s="1"/>
  <c r="AF89"/>
  <c r="AG89" s="1"/>
  <c r="AF213"/>
  <c r="AG213" s="1"/>
  <c r="AB213"/>
  <c r="AC213" s="1"/>
  <c r="AB222"/>
  <c r="AC222" s="1"/>
  <c r="AF222"/>
  <c r="AG222" s="1"/>
  <c r="AF232"/>
  <c r="AG232" s="1"/>
  <c r="AB232"/>
  <c r="AC232" s="1"/>
  <c r="AB126"/>
  <c r="AC126" s="1"/>
  <c r="AF126"/>
  <c r="AG126" s="1"/>
  <c r="AF297"/>
  <c r="AG297" s="1"/>
  <c r="AB297"/>
  <c r="AC297" s="1"/>
  <c r="AB298"/>
  <c r="AC298" s="1"/>
  <c r="AF298"/>
  <c r="AG298" s="1"/>
  <c r="AB38"/>
  <c r="AF38"/>
  <c r="AG38" s="1"/>
  <c r="AF239"/>
  <c r="AG239" s="1"/>
  <c r="AB239"/>
  <c r="AC239" s="1"/>
  <c r="AB177"/>
  <c r="AF177"/>
  <c r="AG177" s="1"/>
  <c r="AB161"/>
  <c r="AC161" s="1"/>
  <c r="AF161"/>
  <c r="AG161" s="1"/>
  <c r="AF282"/>
  <c r="AG282" s="1"/>
  <c r="AB282"/>
  <c r="AC282" s="1"/>
  <c r="AF269"/>
  <c r="AG269" s="1"/>
  <c r="AB269"/>
  <c r="AC269" s="1"/>
  <c r="AF248"/>
  <c r="AG248" s="1"/>
  <c r="AB248"/>
  <c r="AC248" s="1"/>
  <c r="AB207"/>
  <c r="AC207" s="1"/>
  <c r="AF207"/>
  <c r="AG207" s="1"/>
  <c r="AB171"/>
  <c r="AC171" s="1"/>
  <c r="AF171"/>
  <c r="AG171" s="1"/>
  <c r="AF188"/>
  <c r="AG188" s="1"/>
  <c r="AB188"/>
  <c r="AC188" s="1"/>
  <c r="AF93"/>
  <c r="AG93" s="1"/>
  <c r="AB93"/>
  <c r="AF131"/>
  <c r="AG131" s="1"/>
  <c r="AB131"/>
  <c r="AC131" s="1"/>
  <c r="AF101"/>
  <c r="AG101" s="1"/>
  <c r="AB101"/>
  <c r="AC101" s="1"/>
  <c r="AF72"/>
  <c r="AG72" s="1"/>
  <c r="AB72"/>
  <c r="AC72" s="1"/>
  <c r="AF189"/>
  <c r="AG189" s="1"/>
  <c r="AB189"/>
  <c r="AC189" s="1"/>
  <c r="AB283"/>
  <c r="AF283"/>
  <c r="AG283" s="1"/>
  <c r="AB280"/>
  <c r="AF280"/>
  <c r="AG280" s="1"/>
  <c r="AF270"/>
  <c r="AG270" s="1"/>
  <c r="AB270"/>
  <c r="AB140"/>
  <c r="AC140" s="1"/>
  <c r="AF140"/>
  <c r="AG140" s="1"/>
  <c r="AF199"/>
  <c r="AG199" s="1"/>
  <c r="AB199"/>
  <c r="AC199" s="1"/>
  <c r="AF228"/>
  <c r="AG228" s="1"/>
  <c r="AB228"/>
  <c r="AF175"/>
  <c r="AG175" s="1"/>
  <c r="AB175"/>
  <c r="AF149"/>
  <c r="AG149" s="1"/>
  <c r="AB149"/>
  <c r="AC149" s="1"/>
  <c r="AF65"/>
  <c r="AG65" s="1"/>
  <c r="AB65"/>
  <c r="AC65" s="1"/>
  <c r="AB206"/>
  <c r="AC206" s="1"/>
  <c r="AF206"/>
  <c r="AG206" s="1"/>
  <c r="AG86"/>
  <c r="AH86"/>
  <c r="AF23"/>
  <c r="AG23" s="1"/>
  <c r="AB23"/>
  <c r="AC23" s="1"/>
  <c r="AF300"/>
  <c r="AG300" s="1"/>
  <c r="AB300"/>
  <c r="AC300" s="1"/>
  <c r="AF227"/>
  <c r="AG227" s="1"/>
  <c r="AB227"/>
  <c r="AC227" s="1"/>
  <c r="AF104"/>
  <c r="AG104" s="1"/>
  <c r="AB104"/>
  <c r="AC104" s="1"/>
  <c r="AF258"/>
  <c r="AG258" s="1"/>
  <c r="AB258"/>
  <c r="AB36"/>
  <c r="AF36"/>
  <c r="AG36" s="1"/>
  <c r="AB182"/>
  <c r="AC182" s="1"/>
  <c r="AF182"/>
  <c r="AG182" s="1"/>
  <c r="AF196"/>
  <c r="AG196" s="1"/>
  <c r="AB196"/>
  <c r="AC196" s="1"/>
  <c r="AF287"/>
  <c r="AG287" s="1"/>
  <c r="AB287"/>
  <c r="AC287" s="1"/>
  <c r="AB231"/>
  <c r="AC231" s="1"/>
  <c r="AF231"/>
  <c r="AG231" s="1"/>
  <c r="AB238"/>
  <c r="AC238" s="1"/>
  <c r="AF238"/>
  <c r="AG238" s="1"/>
  <c r="AB186"/>
  <c r="AC186" s="1"/>
  <c r="AF186"/>
  <c r="AG186" s="1"/>
  <c r="AB32"/>
  <c r="AF32"/>
  <c r="AG32" s="1"/>
  <c r="AB214"/>
  <c r="AC214" s="1"/>
  <c r="AF214"/>
  <c r="AG214" s="1"/>
  <c r="AB190"/>
  <c r="AC190" s="1"/>
  <c r="AF190"/>
  <c r="AG190" s="1"/>
  <c r="AB197"/>
  <c r="AC197" s="1"/>
  <c r="AF197"/>
  <c r="AG197" s="1"/>
  <c r="AB42"/>
  <c r="AC42" s="1"/>
  <c r="AF42"/>
  <c r="AG42" s="1"/>
  <c r="E92" i="1"/>
  <c r="F92" s="1"/>
  <c r="E89"/>
  <c r="F89" s="1"/>
  <c r="L103"/>
  <c r="E103" s="1"/>
  <c r="F103" s="1"/>
  <c r="E95"/>
  <c r="F95" s="1"/>
  <c r="E97"/>
  <c r="F97" s="1"/>
  <c r="E98"/>
  <c r="F98" s="1"/>
  <c r="E101"/>
  <c r="F101" s="1"/>
  <c r="E91"/>
  <c r="F91" s="1"/>
  <c r="AF263" i="12"/>
  <c r="AB263"/>
  <c r="AF241"/>
  <c r="AG241" s="1"/>
  <c r="AB241"/>
  <c r="AC241" s="1"/>
  <c r="AF147"/>
  <c r="AG147" s="1"/>
  <c r="AB147"/>
  <c r="AB139"/>
  <c r="AC139" s="1"/>
  <c r="AF139"/>
  <c r="AG139" s="1"/>
  <c r="AB130"/>
  <c r="AF130"/>
  <c r="AG130" s="1"/>
  <c r="AF285"/>
  <c r="AG285" s="1"/>
  <c r="AB285"/>
  <c r="AC285" s="1"/>
  <c r="AF204"/>
  <c r="AG204" s="1"/>
  <c r="AB204"/>
  <c r="AC204" s="1"/>
  <c r="E34" i="1"/>
  <c r="F34" s="1"/>
  <c r="E33"/>
  <c r="F33" s="1"/>
  <c r="E40"/>
  <c r="F40" s="1"/>
  <c r="E25"/>
  <c r="L42"/>
  <c r="E42" s="1"/>
  <c r="F42" s="1"/>
  <c r="E28"/>
  <c r="F28" s="1"/>
  <c r="E37"/>
  <c r="F37" s="1"/>
  <c r="AB304" i="12"/>
  <c r="AC304" s="1"/>
  <c r="AF304"/>
  <c r="AG304" s="1"/>
  <c r="AB56"/>
  <c r="AC56" s="1"/>
  <c r="AF56"/>
  <c r="AG56" s="1"/>
  <c r="AB279"/>
  <c r="AC279" s="1"/>
  <c r="AF279"/>
  <c r="AG279" s="1"/>
  <c r="AF141"/>
  <c r="AG141" s="1"/>
  <c r="AB141"/>
  <c r="AC141" s="1"/>
  <c r="AF109"/>
  <c r="AG109" s="1"/>
  <c r="AB109"/>
  <c r="AC109" s="1"/>
  <c r="AF102"/>
  <c r="AG102" s="1"/>
  <c r="AB102"/>
  <c r="AC102" s="1"/>
  <c r="AB230"/>
  <c r="AC230" s="1"/>
  <c r="AF230"/>
  <c r="AG230" s="1"/>
  <c r="AF105"/>
  <c r="AG105" s="1"/>
  <c r="AB105"/>
  <c r="AC105" s="1"/>
  <c r="AB77"/>
  <c r="AC77" s="1"/>
  <c r="AF77"/>
  <c r="AG77" s="1"/>
  <c r="AF153"/>
  <c r="AG153" s="1"/>
  <c r="AB153"/>
  <c r="AC153" s="1"/>
  <c r="AF34"/>
  <c r="AG34" s="1"/>
  <c r="AB34"/>
  <c r="AC34" s="1"/>
  <c r="AB124"/>
  <c r="AC124" s="1"/>
  <c r="AF124"/>
  <c r="AG124" s="1"/>
  <c r="AF63"/>
  <c r="AG63" s="1"/>
  <c r="AB63"/>
  <c r="AC63" s="1"/>
  <c r="AF178"/>
  <c r="AG178" s="1"/>
  <c r="AB178"/>
  <c r="AC178" s="1"/>
  <c r="L41" i="19"/>
  <c r="M41" s="1"/>
  <c r="L24"/>
  <c r="M24" s="1"/>
  <c r="L97"/>
  <c r="M97" s="1"/>
  <c r="L19"/>
  <c r="L106"/>
  <c r="M106" s="1"/>
  <c r="L105"/>
  <c r="M105" s="1"/>
  <c r="L85"/>
  <c r="M85" s="1"/>
  <c r="L118"/>
  <c r="M118" s="1"/>
  <c r="L80"/>
  <c r="L114"/>
  <c r="M114" s="1"/>
  <c r="L34"/>
  <c r="M34" s="1"/>
  <c r="L30"/>
  <c r="M30" s="1"/>
  <c r="L91"/>
  <c r="M91" s="1"/>
  <c r="L29"/>
  <c r="M29" s="1"/>
  <c r="L50"/>
  <c r="M50" s="1"/>
  <c r="L104"/>
  <c r="M104" s="1"/>
  <c r="L94"/>
  <c r="M94" s="1"/>
  <c r="L117"/>
  <c r="M117" s="1"/>
  <c r="L35"/>
  <c r="M35" s="1"/>
  <c r="L49"/>
  <c r="M49" s="1"/>
  <c r="L31"/>
  <c r="M31" s="1"/>
  <c r="L42"/>
  <c r="M42" s="1"/>
  <c r="L115"/>
  <c r="M115" s="1"/>
  <c r="L32"/>
  <c r="M32" s="1"/>
  <c r="L96"/>
  <c r="M96" s="1"/>
  <c r="L48"/>
  <c r="M48" s="1"/>
  <c r="L93"/>
  <c r="M93" s="1"/>
  <c r="L92"/>
  <c r="M92" s="1"/>
  <c r="L113"/>
  <c r="M113" s="1"/>
  <c r="L112"/>
  <c r="M112" s="1"/>
  <c r="AB82" i="12"/>
  <c r="AC82" s="1"/>
  <c r="AF82"/>
  <c r="AG82" s="1"/>
  <c r="AF234"/>
  <c r="AG234" s="1"/>
  <c r="AB234"/>
  <c r="AC234" s="1"/>
  <c r="AB202"/>
  <c r="AF202"/>
  <c r="AG202" s="1"/>
  <c r="AF217"/>
  <c r="AG217" s="1"/>
  <c r="AB217"/>
  <c r="AC217" s="1"/>
  <c r="AF90"/>
  <c r="AG90" s="1"/>
  <c r="AB90"/>
  <c r="AC90" s="1"/>
  <c r="AB113"/>
  <c r="AC113" s="1"/>
  <c r="AF113"/>
  <c r="AG113" s="1"/>
  <c r="AB31"/>
  <c r="AC31" s="1"/>
  <c r="AF31"/>
  <c r="AG31" s="1"/>
  <c r="AF44"/>
  <c r="AG44" s="1"/>
  <c r="AB44"/>
  <c r="AC44" s="1"/>
  <c r="AF288"/>
  <c r="AG288" s="1"/>
  <c r="AB288"/>
  <c r="AC288" s="1"/>
  <c r="AB169"/>
  <c r="AC169" s="1"/>
  <c r="AF169"/>
  <c r="AG169" s="1"/>
  <c r="AB75"/>
  <c r="AC75" s="1"/>
  <c r="AF75"/>
  <c r="AG75" s="1"/>
  <c r="AB233"/>
  <c r="AC233" s="1"/>
  <c r="AF233"/>
  <c r="AG233" s="1"/>
  <c r="AB211"/>
  <c r="AC211" s="1"/>
  <c r="AF211"/>
  <c r="AG211" s="1"/>
  <c r="AF142"/>
  <c r="AG142" s="1"/>
  <c r="AB142"/>
  <c r="AC142" s="1"/>
  <c r="AF246"/>
  <c r="AG246" s="1"/>
  <c r="AB246"/>
  <c r="AC246" s="1"/>
  <c r="AF180"/>
  <c r="AG180" s="1"/>
  <c r="AB180"/>
  <c r="AB183"/>
  <c r="AC183" s="1"/>
  <c r="AF183"/>
  <c r="AG183" s="1"/>
  <c r="AB194"/>
  <c r="AC194" s="1"/>
  <c r="AF194"/>
  <c r="AG194" s="1"/>
  <c r="AB255"/>
  <c r="AC255" s="1"/>
  <c r="AF255"/>
  <c r="AG255" s="1"/>
  <c r="AF176"/>
  <c r="AG176" s="1"/>
  <c r="AB176"/>
  <c r="AC176" s="1"/>
  <c r="AB26"/>
  <c r="AC26" s="1"/>
  <c r="AF26"/>
  <c r="AG26" s="1"/>
  <c r="AB134"/>
  <c r="AF134"/>
  <c r="AG134" s="1"/>
  <c r="AB235"/>
  <c r="AC235" s="1"/>
  <c r="AF235"/>
  <c r="AG235" s="1"/>
  <c r="AF132"/>
  <c r="AG132" s="1"/>
  <c r="AB132"/>
  <c r="AF37"/>
  <c r="AG37" s="1"/>
  <c r="AB37"/>
  <c r="AC37" s="1"/>
  <c r="AB163"/>
  <c r="AC163" s="1"/>
  <c r="AF163"/>
  <c r="AG163" s="1"/>
  <c r="AB92"/>
  <c r="AC92" s="1"/>
  <c r="AF92"/>
  <c r="AG92" s="1"/>
  <c r="AB250"/>
  <c r="AC250" s="1"/>
  <c r="AF250"/>
  <c r="AG250" s="1"/>
  <c r="AB308"/>
  <c r="AC308" s="1"/>
  <c r="AF308"/>
  <c r="AG308" s="1"/>
  <c r="AB218"/>
  <c r="AC218" s="1"/>
  <c r="AF218"/>
  <c r="AG218" s="1"/>
  <c r="L120" i="19"/>
  <c r="M120" s="1"/>
  <c r="AD193" i="12"/>
  <c r="AH193" s="1"/>
  <c r="AB236"/>
  <c r="AC236" s="1"/>
  <c r="AF236"/>
  <c r="AG236" s="1"/>
  <c r="AB137"/>
  <c r="AC137" s="1"/>
  <c r="AF137"/>
  <c r="AG137" s="1"/>
  <c r="AF128"/>
  <c r="AG128" s="1"/>
  <c r="AB128"/>
  <c r="AC128" s="1"/>
  <c r="AB60"/>
  <c r="AC60" s="1"/>
  <c r="AF60"/>
  <c r="AG60" s="1"/>
  <c r="AF226"/>
  <c r="AG226" s="1"/>
  <c r="AB226"/>
  <c r="AC226" s="1"/>
  <c r="AF47"/>
  <c r="AG47" s="1"/>
  <c r="AB47"/>
  <c r="AC47" s="1"/>
  <c r="AB99"/>
  <c r="AC99" s="1"/>
  <c r="AF99"/>
  <c r="AG99" s="1"/>
  <c r="AF203"/>
  <c r="AG203" s="1"/>
  <c r="AB203"/>
  <c r="AC203" s="1"/>
  <c r="AB112"/>
  <c r="AF112"/>
  <c r="AG112" s="1"/>
  <c r="AF181"/>
  <c r="AG181" s="1"/>
  <c r="AB181"/>
  <c r="AC181" s="1"/>
  <c r="AB151"/>
  <c r="AC151" s="1"/>
  <c r="AF151"/>
  <c r="AG151" s="1"/>
  <c r="AB289"/>
  <c r="AC289" s="1"/>
  <c r="AF289"/>
  <c r="AG289" s="1"/>
  <c r="AB144"/>
  <c r="AC144" s="1"/>
  <c r="AF144"/>
  <c r="AG144" s="1"/>
  <c r="AF51"/>
  <c r="AG51" s="1"/>
  <c r="AB51"/>
  <c r="AC51" s="1"/>
  <c r="AF41"/>
  <c r="AG41" s="1"/>
  <c r="AB41"/>
  <c r="AC41" s="1"/>
  <c r="AF240"/>
  <c r="AG240" s="1"/>
  <c r="AB240"/>
  <c r="AC240" s="1"/>
  <c r="AF245"/>
  <c r="AG245" s="1"/>
  <c r="AB245"/>
  <c r="AC245" s="1"/>
  <c r="AF184"/>
  <c r="AG184" s="1"/>
  <c r="AB184"/>
  <c r="AB27"/>
  <c r="AF27"/>
  <c r="AF155"/>
  <c r="AG155" s="1"/>
  <c r="AB155"/>
  <c r="AC155" s="1"/>
  <c r="AF212"/>
  <c r="AG212" s="1"/>
  <c r="AB212"/>
  <c r="AC212" s="1"/>
  <c r="AB138"/>
  <c r="AC138" s="1"/>
  <c r="AF138"/>
  <c r="AG138" s="1"/>
  <c r="AF224"/>
  <c r="AG224" s="1"/>
  <c r="AB224"/>
  <c r="AC224" s="1"/>
  <c r="AF107"/>
  <c r="AG107" s="1"/>
  <c r="AB107"/>
  <c r="AC107" s="1"/>
  <c r="AB294"/>
  <c r="AC294" s="1"/>
  <c r="AF294"/>
  <c r="AG294" s="1"/>
  <c r="AF273"/>
  <c r="AG273" s="1"/>
  <c r="AB273"/>
  <c r="AC273" s="1"/>
  <c r="AF286"/>
  <c r="AG286" s="1"/>
  <c r="AB286"/>
  <c r="AB267"/>
  <c r="AC267" s="1"/>
  <c r="AF267"/>
  <c r="AG267" s="1"/>
  <c r="AB216"/>
  <c r="AC216" s="1"/>
  <c r="AF216"/>
  <c r="AG216" s="1"/>
  <c r="AF50"/>
  <c r="AG50" s="1"/>
  <c r="AB50"/>
  <c r="AC50" s="1"/>
  <c r="AF85"/>
  <c r="AG85" s="1"/>
  <c r="AB85"/>
  <c r="AC85" s="1"/>
  <c r="AF264"/>
  <c r="AG264" s="1"/>
  <c r="AB264"/>
  <c r="AF106"/>
  <c r="AG106" s="1"/>
  <c r="AB106"/>
  <c r="AC106" s="1"/>
  <c r="AF302"/>
  <c r="AG302" s="1"/>
  <c r="AB302"/>
  <c r="AC302" s="1"/>
  <c r="C14" i="17"/>
  <c r="C15"/>
  <c r="C16" s="1"/>
  <c r="AF46" i="12"/>
  <c r="AG46" s="1"/>
  <c r="AB46"/>
  <c r="L103" i="15"/>
  <c r="M103" s="1"/>
  <c r="L124"/>
  <c r="M124" s="1"/>
  <c r="L125"/>
  <c r="M125" s="1"/>
  <c r="L123"/>
  <c r="M123" s="1"/>
  <c r="L115"/>
  <c r="M115" s="1"/>
  <c r="L101"/>
  <c r="M101" s="1"/>
  <c r="L90"/>
  <c r="L114"/>
  <c r="M114" s="1"/>
  <c r="L104"/>
  <c r="M104" s="1"/>
  <c r="L102"/>
  <c r="M102" s="1"/>
  <c r="L127"/>
  <c r="M127" s="1"/>
  <c r="L95"/>
  <c r="M95" s="1"/>
  <c r="L116"/>
  <c r="M116" s="1"/>
  <c r="L122"/>
  <c r="M122" s="1"/>
  <c r="L107"/>
  <c r="M107" s="1"/>
  <c r="L106"/>
  <c r="M106" s="1"/>
  <c r="AB281" i="12"/>
  <c r="AC281" s="1"/>
  <c r="AF281"/>
  <c r="AG281" s="1"/>
  <c r="AB54"/>
  <c r="AC54" s="1"/>
  <c r="AF54"/>
  <c r="AG54" s="1"/>
  <c r="AF115"/>
  <c r="AG115" s="1"/>
  <c r="AB115"/>
  <c r="AC115" s="1"/>
  <c r="AB68"/>
  <c r="AF68"/>
  <c r="AG68" s="1"/>
  <c r="AC30"/>
  <c r="AH30"/>
  <c r="AB252"/>
  <c r="AF252"/>
  <c r="AG252" s="1"/>
  <c r="AF29"/>
  <c r="AG29" s="1"/>
  <c r="AB29"/>
  <c r="AB97"/>
  <c r="AC97" s="1"/>
  <c r="AF97"/>
  <c r="AG97" s="1"/>
  <c r="AF28"/>
  <c r="AG28" s="1"/>
  <c r="AB28"/>
  <c r="AB79"/>
  <c r="AC79" s="1"/>
  <c r="AF79"/>
  <c r="AG79" s="1"/>
  <c r="AF164"/>
  <c r="AG164" s="1"/>
  <c r="AB164"/>
  <c r="AC164" s="1"/>
  <c r="AF225"/>
  <c r="AG225" s="1"/>
  <c r="AB225"/>
  <c r="AC225" s="1"/>
  <c r="AF271"/>
  <c r="AG271" s="1"/>
  <c r="AB271"/>
  <c r="AC271" s="1"/>
  <c r="AB125"/>
  <c r="AC125" s="1"/>
  <c r="AF125"/>
  <c r="AG125" s="1"/>
  <c r="AB100"/>
  <c r="AF100"/>
  <c r="AG100" s="1"/>
  <c r="F49" i="2"/>
  <c r="F27"/>
  <c r="G27" s="1"/>
  <c r="D45"/>
  <c r="D49"/>
  <c r="AB242" i="12"/>
  <c r="AF242"/>
  <c r="AB307"/>
  <c r="AC307" s="1"/>
  <c r="AF307"/>
  <c r="AG307" s="1"/>
  <c r="AF146"/>
  <c r="AG146" s="1"/>
  <c r="AB146"/>
  <c r="AC146" s="1"/>
  <c r="AB45"/>
  <c r="AC45" s="1"/>
  <c r="AF45"/>
  <c r="AG45" s="1"/>
  <c r="AF268"/>
  <c r="AG268" s="1"/>
  <c r="AB268"/>
  <c r="AC268" s="1"/>
  <c r="AB127"/>
  <c r="AC127" s="1"/>
  <c r="AF127"/>
  <c r="AG127" s="1"/>
  <c r="AF122"/>
  <c r="AG122" s="1"/>
  <c r="AB122"/>
  <c r="AC122" s="1"/>
  <c r="AF166"/>
  <c r="AG166" s="1"/>
  <c r="AB166"/>
  <c r="AC166" s="1"/>
  <c r="AB299"/>
  <c r="AC299" s="1"/>
  <c r="AF299"/>
  <c r="AG299" s="1"/>
  <c r="AB111"/>
  <c r="AF111"/>
  <c r="AG111" s="1"/>
  <c r="AF292"/>
  <c r="AG292" s="1"/>
  <c r="AB292"/>
  <c r="AC292" s="1"/>
  <c r="AF221"/>
  <c r="AG221" s="1"/>
  <c r="AB221"/>
  <c r="AC221" s="1"/>
  <c r="AF249"/>
  <c r="AG249" s="1"/>
  <c r="AB249"/>
  <c r="AC249" s="1"/>
  <c r="AB25"/>
  <c r="AC25" s="1"/>
  <c r="AF25"/>
  <c r="AG25" s="1"/>
  <c r="AB52"/>
  <c r="AC52" s="1"/>
  <c r="AF52"/>
  <c r="AG52" s="1"/>
  <c r="AF129"/>
  <c r="AG129" s="1"/>
  <c r="AB129"/>
  <c r="AC129" s="1"/>
  <c r="AF73"/>
  <c r="AG73" s="1"/>
  <c r="AB73"/>
  <c r="AC73" s="1"/>
  <c r="AB148"/>
  <c r="AF148"/>
  <c r="AG148" s="1"/>
  <c r="L56" i="15"/>
  <c r="M56" s="1"/>
  <c r="L44"/>
  <c r="M44" s="1"/>
  <c r="L34"/>
  <c r="M34" s="1"/>
  <c r="L42"/>
  <c r="M42" s="1"/>
  <c r="L130"/>
  <c r="M130" s="1"/>
  <c r="L58"/>
  <c r="M58" s="1"/>
  <c r="L32"/>
  <c r="M32" s="1"/>
  <c r="L29"/>
  <c r="M29" s="1"/>
  <c r="L53"/>
  <c r="M53" s="1"/>
  <c r="L55"/>
  <c r="M55" s="1"/>
  <c r="AB87" i="12"/>
  <c r="AC87" s="1"/>
  <c r="AF160"/>
  <c r="AG160" s="1"/>
  <c r="AB160"/>
  <c r="AC160" s="1"/>
  <c r="AF306"/>
  <c r="AG306" s="1"/>
  <c r="AB306"/>
  <c r="AC306" s="1"/>
  <c r="AB284"/>
  <c r="AC284" s="1"/>
  <c r="AF284"/>
  <c r="AG284" s="1"/>
  <c r="AB120"/>
  <c r="AC120" s="1"/>
  <c r="AF120"/>
  <c r="AG120" s="1"/>
  <c r="AB247"/>
  <c r="AC247" s="1"/>
  <c r="AF247"/>
  <c r="AG247" s="1"/>
  <c r="AD216"/>
  <c r="AH277"/>
  <c r="AC277"/>
  <c r="AB167"/>
  <c r="AC167" s="1"/>
  <c r="AF167"/>
  <c r="AG167" s="1"/>
  <c r="AF59"/>
  <c r="AG59" s="1"/>
  <c r="AB59"/>
  <c r="AB191"/>
  <c r="AC191" s="1"/>
  <c r="AF191"/>
  <c r="AG191" s="1"/>
  <c r="AF220"/>
  <c r="AG220" s="1"/>
  <c r="AB220"/>
  <c r="AC220" s="1"/>
  <c r="AF208"/>
  <c r="AG208" s="1"/>
  <c r="AB208"/>
  <c r="AC208" s="1"/>
  <c r="AF98"/>
  <c r="AG98" s="1"/>
  <c r="AB98"/>
  <c r="AC98" s="1"/>
  <c r="AB157"/>
  <c r="AC157" s="1"/>
  <c r="AF157"/>
  <c r="AG157" s="1"/>
  <c r="AB200"/>
  <c r="AC200" s="1"/>
  <c r="AF200"/>
  <c r="AG200" s="1"/>
  <c r="AF257"/>
  <c r="AG257" s="1"/>
  <c r="AB257"/>
  <c r="AC257" s="1"/>
  <c r="AF162"/>
  <c r="AG162" s="1"/>
  <c r="AB162"/>
  <c r="AC162" s="1"/>
  <c r="AF114"/>
  <c r="AG114" s="1"/>
  <c r="AB114"/>
  <c r="AC114" s="1"/>
  <c r="AF172"/>
  <c r="AG172" s="1"/>
  <c r="AB172"/>
  <c r="AC172" s="1"/>
  <c r="AB69"/>
  <c r="AC69" s="1"/>
  <c r="AF69"/>
  <c r="AG69" s="1"/>
  <c r="AF201"/>
  <c r="AG201" s="1"/>
  <c r="AB201"/>
  <c r="L44" i="18"/>
  <c r="E44" s="1"/>
  <c r="E30"/>
  <c r="E41"/>
  <c r="E33"/>
  <c r="E38"/>
  <c r="E42"/>
  <c r="E39"/>
  <c r="AF295" i="12"/>
  <c r="AG295" s="1"/>
  <c r="AB295"/>
  <c r="AC295" s="1"/>
  <c r="AB290"/>
  <c r="AF290"/>
  <c r="AG290" s="1"/>
  <c r="AF74"/>
  <c r="AG74" s="1"/>
  <c r="AB74"/>
  <c r="AB272"/>
  <c r="AC272" s="1"/>
  <c r="AF272"/>
  <c r="AG272" s="1"/>
  <c r="AF43"/>
  <c r="AG43" s="1"/>
  <c r="AB43"/>
  <c r="AC43" s="1"/>
  <c r="AF251"/>
  <c r="AB251"/>
  <c r="AF80"/>
  <c r="AG80" s="1"/>
  <c r="AB80"/>
  <c r="AC80" s="1"/>
  <c r="AF143"/>
  <c r="AG143" s="1"/>
  <c r="AB143"/>
  <c r="AC143" s="1"/>
  <c r="AB110"/>
  <c r="AC110" s="1"/>
  <c r="AF110"/>
  <c r="AG110" s="1"/>
  <c r="AF55"/>
  <c r="AG55" s="1"/>
  <c r="AB55"/>
  <c r="AC55" s="1"/>
  <c r="AB76"/>
  <c r="AC76" s="1"/>
  <c r="AF76"/>
  <c r="AG76" s="1"/>
  <c r="AB170"/>
  <c r="AF170"/>
  <c r="AG170" s="1"/>
  <c r="AF145"/>
  <c r="AG145" s="1"/>
  <c r="AB145"/>
  <c r="AF275"/>
  <c r="AG275" s="1"/>
  <c r="AB275"/>
  <c r="AC275" s="1"/>
  <c r="AF159"/>
  <c r="AG159" s="1"/>
  <c r="AB159"/>
  <c r="AC159" s="1"/>
  <c r="AB274"/>
  <c r="AC274" s="1"/>
  <c r="AF274"/>
  <c r="AG274" s="1"/>
  <c r="AB187"/>
  <c r="AC187" s="1"/>
  <c r="AF187"/>
  <c r="AG187" s="1"/>
  <c r="AF22"/>
  <c r="AG22" s="1"/>
  <c r="AD304"/>
  <c r="AD235"/>
  <c r="AD135"/>
  <c r="AD31"/>
  <c r="N15" i="4"/>
  <c r="L15"/>
  <c r="AD85" i="12"/>
  <c r="AD63"/>
  <c r="AD253"/>
  <c r="AD144"/>
  <c r="AD189"/>
  <c r="AD113"/>
  <c r="AD259"/>
  <c r="AD215"/>
  <c r="AD106"/>
  <c r="AD272"/>
  <c r="AD122"/>
  <c r="AD37"/>
  <c r="AD121"/>
  <c r="AD158"/>
  <c r="AH158" s="1"/>
  <c r="AJ158" s="1"/>
  <c r="AK158" s="1"/>
  <c r="AD152"/>
  <c r="AD76"/>
  <c r="AD82"/>
  <c r="AD118"/>
  <c r="AH118" s="1"/>
  <c r="AD49"/>
  <c r="AD295"/>
  <c r="AD179"/>
  <c r="AH179" s="1"/>
  <c r="AJ179" s="1"/>
  <c r="AK179" s="1"/>
  <c r="AD107"/>
  <c r="AD55"/>
  <c r="AD240"/>
  <c r="AD249"/>
  <c r="AD125"/>
  <c r="N11" i="4"/>
  <c r="L11"/>
  <c r="AD165" i="12"/>
  <c r="AH165" s="1"/>
  <c r="AJ165" s="1"/>
  <c r="AK165" s="1"/>
  <c r="AH181"/>
  <c r="AJ181" s="1"/>
  <c r="AK181" s="1"/>
  <c r="AD217"/>
  <c r="AD161"/>
  <c r="AD154"/>
  <c r="AH154" s="1"/>
  <c r="AD248"/>
  <c r="AD108"/>
  <c r="AH108" s="1"/>
  <c r="AD288"/>
  <c r="AD287"/>
  <c r="AD25"/>
  <c r="AD305"/>
  <c r="AD42"/>
  <c r="AD129"/>
  <c r="AD73"/>
  <c r="AD213"/>
  <c r="AD285"/>
  <c r="AD45"/>
  <c r="AD308"/>
  <c r="AD234"/>
  <c r="AD294"/>
  <c r="AD267"/>
  <c r="AD109"/>
  <c r="AD44"/>
  <c r="AD40"/>
  <c r="AH40" s="1"/>
  <c r="AD266"/>
  <c r="AD142"/>
  <c r="AD186"/>
  <c r="AD131"/>
  <c r="AD99"/>
  <c r="AD65"/>
  <c r="AD254"/>
  <c r="AH254" s="1"/>
  <c r="AD236"/>
  <c r="AD91"/>
  <c r="AD167"/>
  <c r="L14" i="4"/>
  <c r="N14"/>
  <c r="M18" i="15"/>
  <c r="AD160" i="12"/>
  <c r="AD60"/>
  <c r="AD197"/>
  <c r="AD96"/>
  <c r="AD87"/>
  <c r="AD39"/>
  <c r="AD33"/>
  <c r="AD225"/>
  <c r="AD41"/>
  <c r="AD67"/>
  <c r="AN68" s="1"/>
  <c r="AD105"/>
  <c r="AD176"/>
  <c r="AD190"/>
  <c r="AD222"/>
  <c r="AD89"/>
  <c r="AD255"/>
  <c r="AD224"/>
  <c r="AD126"/>
  <c r="AH126" s="1"/>
  <c r="AD62"/>
  <c r="AD164"/>
  <c r="AD139"/>
  <c r="AD241"/>
  <c r="AD303"/>
  <c r="AD61"/>
  <c r="AD64"/>
  <c r="AD71"/>
  <c r="N16" i="4"/>
  <c r="L16"/>
  <c r="AH273" i="12"/>
  <c r="AJ273" s="1"/>
  <c r="AK273" s="1"/>
  <c r="AD262"/>
  <c r="AD95"/>
  <c r="AD58"/>
  <c r="AD70"/>
  <c r="AD137"/>
  <c r="AD291"/>
  <c r="AD198"/>
  <c r="AD207"/>
  <c r="AD163"/>
  <c r="AD127"/>
  <c r="N13" i="4"/>
  <c r="L13"/>
  <c r="AD220" i="12"/>
  <c r="AD206"/>
  <c r="AD227"/>
  <c r="AD185"/>
  <c r="AD307"/>
  <c r="AD218"/>
  <c r="AD172"/>
  <c r="AD205"/>
  <c r="AD79"/>
  <c r="AD302"/>
  <c r="AD21"/>
  <c r="AD84"/>
  <c r="AD275"/>
  <c r="AD157"/>
  <c r="AD196"/>
  <c r="AD226"/>
  <c r="AD117"/>
  <c r="AD81"/>
  <c r="AD245"/>
  <c r="AD98"/>
  <c r="AD146"/>
  <c r="AD166"/>
  <c r="AD208"/>
  <c r="AD54"/>
  <c r="AD281"/>
  <c r="AD124"/>
  <c r="AD209"/>
  <c r="AD22"/>
  <c r="G26" i="2"/>
  <c r="AD110" i="12"/>
  <c r="N12" i="4"/>
  <c r="L12"/>
  <c r="AD151" i="12"/>
  <c r="AD178"/>
  <c r="AD279"/>
  <c r="AD212"/>
  <c r="AD128"/>
  <c r="AD159"/>
  <c r="AD171"/>
  <c r="AD115"/>
  <c r="AD195"/>
  <c r="AD278"/>
  <c r="AN278" s="1"/>
  <c r="AD219"/>
  <c r="AD210"/>
  <c r="AH210" s="1"/>
  <c r="AD297"/>
  <c r="E23" i="2"/>
  <c r="E24"/>
  <c r="AD238" i="12"/>
  <c r="AD243"/>
  <c r="AH243" s="1"/>
  <c r="AD52"/>
  <c r="AD296"/>
  <c r="AD48"/>
  <c r="AD199"/>
  <c r="AD298"/>
  <c r="AD26"/>
  <c r="AD187"/>
  <c r="AD136"/>
  <c r="AD192"/>
  <c r="AN192" s="1"/>
  <c r="AD97"/>
  <c r="AD306"/>
  <c r="AD77"/>
  <c r="AD83"/>
  <c r="AD239"/>
  <c r="AD257"/>
  <c r="AD92"/>
  <c r="AD155"/>
  <c r="AD274"/>
  <c r="AD188"/>
  <c r="AD78"/>
  <c r="E90" i="1"/>
  <c r="F90" s="1"/>
  <c r="E94"/>
  <c r="F94" s="1"/>
  <c r="E88"/>
  <c r="F88" s="1"/>
  <c r="E96"/>
  <c r="F96" s="1"/>
  <c r="E86"/>
  <c r="AD119" i="12"/>
  <c r="AD162"/>
  <c r="AD203"/>
  <c r="N10" i="4"/>
  <c r="L10"/>
  <c r="AD229" i="12"/>
  <c r="AD276"/>
  <c r="AH276" s="1"/>
  <c r="AJ276" s="1"/>
  <c r="AK276" s="1"/>
  <c r="AD204"/>
  <c r="AD269"/>
  <c r="AD299"/>
  <c r="AD169"/>
  <c r="AD56"/>
  <c r="AD51"/>
  <c r="AD104"/>
  <c r="AD43"/>
  <c r="AD182"/>
  <c r="AD72"/>
  <c r="AD232"/>
  <c r="AD284"/>
  <c r="AD75"/>
  <c r="AD88"/>
  <c r="AD23"/>
  <c r="AD80"/>
  <c r="AD282"/>
  <c r="AD271"/>
  <c r="AD200"/>
  <c r="AD47"/>
  <c r="AD116"/>
  <c r="AD153"/>
  <c r="AD94"/>
  <c r="AD214"/>
  <c r="AD300"/>
  <c r="AD289"/>
  <c r="AD246"/>
  <c r="AD34"/>
  <c r="AD114"/>
  <c r="AD103"/>
  <c r="AD233"/>
  <c r="AD194"/>
  <c r="AD183"/>
  <c r="AH183" s="1"/>
  <c r="AD268"/>
  <c r="AD292"/>
  <c r="AD66"/>
  <c r="AD256"/>
  <c r="AD265"/>
  <c r="AD90"/>
  <c r="AH90" s="1"/>
  <c r="AJ90" s="1"/>
  <c r="AK90" s="1"/>
  <c r="AD174"/>
  <c r="AD211"/>
  <c r="AD138"/>
  <c r="N18" i="4"/>
  <c r="L18"/>
  <c r="AD230" i="12"/>
  <c r="AH191"/>
  <c r="AJ191" s="1"/>
  <c r="AK191" s="1"/>
  <c r="AH73" l="1"/>
  <c r="AJ73" s="1"/>
  <c r="AK73" s="1"/>
  <c r="AH232"/>
  <c r="AN270"/>
  <c r="AN220"/>
  <c r="AN176"/>
  <c r="AJ293"/>
  <c r="AK293" s="1"/>
  <c r="AH246"/>
  <c r="AH186"/>
  <c r="AH188"/>
  <c r="AJ188" s="1"/>
  <c r="AK188" s="1"/>
  <c r="AH89"/>
  <c r="AJ89" s="1"/>
  <c r="AK89" s="1"/>
  <c r="AN132"/>
  <c r="AH120"/>
  <c r="AJ120" s="1"/>
  <c r="AK120" s="1"/>
  <c r="AH208"/>
  <c r="AH196"/>
  <c r="AH61"/>
  <c r="AJ61" s="1"/>
  <c r="AK61" s="1"/>
  <c r="AH255"/>
  <c r="AJ255" s="1"/>
  <c r="AK255" s="1"/>
  <c r="AH267"/>
  <c r="AH143"/>
  <c r="AJ143" s="1"/>
  <c r="AK143" s="1"/>
  <c r="AH104"/>
  <c r="AJ104" s="1"/>
  <c r="AK104" s="1"/>
  <c r="AN70"/>
  <c r="AN100"/>
  <c r="AH262"/>
  <c r="AH75"/>
  <c r="AJ75" s="1"/>
  <c r="AK75" s="1"/>
  <c r="AH230"/>
  <c r="AN238"/>
  <c r="AH71"/>
  <c r="AJ71" s="1"/>
  <c r="AK71" s="1"/>
  <c r="AN266"/>
  <c r="AH229"/>
  <c r="AJ229" s="1"/>
  <c r="AK229" s="1"/>
  <c r="AH206"/>
  <c r="AH62"/>
  <c r="AN106"/>
  <c r="AH220"/>
  <c r="AJ220" s="1"/>
  <c r="AK220" s="1"/>
  <c r="AH80"/>
  <c r="AJ80" s="1"/>
  <c r="AK80" s="1"/>
  <c r="AH136"/>
  <c r="AJ136" s="1"/>
  <c r="AK136" s="1"/>
  <c r="AN228"/>
  <c r="AH198"/>
  <c r="AJ198" s="1"/>
  <c r="AK198" s="1"/>
  <c r="AH76"/>
  <c r="AH182"/>
  <c r="AH279"/>
  <c r="AN168"/>
  <c r="AN104"/>
  <c r="AN248"/>
  <c r="AN304"/>
  <c r="AN274"/>
  <c r="AH48"/>
  <c r="AJ48" s="1"/>
  <c r="AK48" s="1"/>
  <c r="AH168"/>
  <c r="AJ168" s="1"/>
  <c r="AK168" s="1"/>
  <c r="AH237"/>
  <c r="AJ237" s="1"/>
  <c r="AK237" s="1"/>
  <c r="AH137"/>
  <c r="AJ137" s="1"/>
  <c r="AK137" s="1"/>
  <c r="AN302"/>
  <c r="AN174"/>
  <c r="AN184"/>
  <c r="AH79"/>
  <c r="AJ79" s="1"/>
  <c r="AK79" s="1"/>
  <c r="AM80" s="1"/>
  <c r="AH138"/>
  <c r="AJ138" s="1"/>
  <c r="AK138" s="1"/>
  <c r="AH83"/>
  <c r="AN152"/>
  <c r="AH302"/>
  <c r="AJ302" s="1"/>
  <c r="AK302" s="1"/>
  <c r="AN74"/>
  <c r="AH261"/>
  <c r="AJ261" s="1"/>
  <c r="AK261" s="1"/>
  <c r="AH57"/>
  <c r="AJ57" s="1"/>
  <c r="AK57" s="1"/>
  <c r="AN186"/>
  <c r="AN160"/>
  <c r="AH34"/>
  <c r="AJ34" s="1"/>
  <c r="AK34" s="1"/>
  <c r="AH116"/>
  <c r="AN258"/>
  <c r="AN244"/>
  <c r="AH226"/>
  <c r="AJ226" s="1"/>
  <c r="AK226" s="1"/>
  <c r="L62" i="15"/>
  <c r="M62" s="1"/>
  <c r="AH217" i="12"/>
  <c r="AN250"/>
  <c r="AH272"/>
  <c r="AJ272" s="1"/>
  <c r="AK272" s="1"/>
  <c r="AH253"/>
  <c r="AN234"/>
  <c r="AN94"/>
  <c r="AN24"/>
  <c r="AH212"/>
  <c r="AJ212" s="1"/>
  <c r="AK212" s="1"/>
  <c r="AN222"/>
  <c r="AH281"/>
  <c r="AJ281" s="1"/>
  <c r="AK281" s="1"/>
  <c r="AH117"/>
  <c r="AJ117" s="1"/>
  <c r="AK117" s="1"/>
  <c r="AN164"/>
  <c r="AH160"/>
  <c r="AJ160" s="1"/>
  <c r="AK160" s="1"/>
  <c r="AN130"/>
  <c r="AH247"/>
  <c r="AJ247" s="1"/>
  <c r="AK247" s="1"/>
  <c r="AH297"/>
  <c r="AJ297" s="1"/>
  <c r="AK297" s="1"/>
  <c r="AH128"/>
  <c r="AH221"/>
  <c r="AJ221" s="1"/>
  <c r="AK221" s="1"/>
  <c r="AN128"/>
  <c r="AH95"/>
  <c r="AJ95" s="1"/>
  <c r="AK95" s="1"/>
  <c r="AH234"/>
  <c r="AJ234" s="1"/>
  <c r="AK234" s="1"/>
  <c r="AH248"/>
  <c r="AJ248" s="1"/>
  <c r="AK248" s="1"/>
  <c r="AH173"/>
  <c r="AJ173" s="1"/>
  <c r="AK173" s="1"/>
  <c r="E43" i="18"/>
  <c r="E45" s="1"/>
  <c r="AH216" i="12"/>
  <c r="AJ216" s="1"/>
  <c r="AK216" s="1"/>
  <c r="AN262"/>
  <c r="AN290"/>
  <c r="AH78"/>
  <c r="AJ78" s="1"/>
  <c r="AK78" s="1"/>
  <c r="AH298"/>
  <c r="AJ298" s="1"/>
  <c r="AK298" s="1"/>
  <c r="AH301"/>
  <c r="AJ301" s="1"/>
  <c r="AK301" s="1"/>
  <c r="AH22"/>
  <c r="AJ22" s="1"/>
  <c r="AK22" s="1"/>
  <c r="AH152"/>
  <c r="AJ152" s="1"/>
  <c r="AK152" s="1"/>
  <c r="AN260"/>
  <c r="AH115"/>
  <c r="AJ115" s="1"/>
  <c r="AK115" s="1"/>
  <c r="AN158"/>
  <c r="AH218"/>
  <c r="AJ218" s="1"/>
  <c r="AK218" s="1"/>
  <c r="AN286"/>
  <c r="AN288"/>
  <c r="AH55"/>
  <c r="AJ55" s="1"/>
  <c r="AK55" s="1"/>
  <c r="AN86"/>
  <c r="AH294"/>
  <c r="AN48"/>
  <c r="AN284"/>
  <c r="AH166"/>
  <c r="AJ166" s="1"/>
  <c r="AK166" s="1"/>
  <c r="AM166" s="1"/>
  <c r="AH172"/>
  <c r="AJ172" s="1"/>
  <c r="AK172" s="1"/>
  <c r="AN150"/>
  <c r="AN112"/>
  <c r="AH99"/>
  <c r="AJ99" s="1"/>
  <c r="AK99" s="1"/>
  <c r="AH106"/>
  <c r="AJ106" s="1"/>
  <c r="AK106" s="1"/>
  <c r="AH63"/>
  <c r="AJ63" s="1"/>
  <c r="AK63" s="1"/>
  <c r="AH304"/>
  <c r="AJ304" s="1"/>
  <c r="AK304" s="1"/>
  <c r="AJ86"/>
  <c r="AK86" s="1"/>
  <c r="AJ186"/>
  <c r="AK186" s="1"/>
  <c r="AH189"/>
  <c r="AJ189" s="1"/>
  <c r="AK189" s="1"/>
  <c r="AJ277"/>
  <c r="AK277" s="1"/>
  <c r="AH47"/>
  <c r="AN78"/>
  <c r="AN110"/>
  <c r="AH23"/>
  <c r="AJ23" s="1"/>
  <c r="AK23" s="1"/>
  <c r="AN232"/>
  <c r="AH129"/>
  <c r="AC244"/>
  <c r="AH244"/>
  <c r="AN188"/>
  <c r="AH176"/>
  <c r="AJ176" s="1"/>
  <c r="AK176" s="1"/>
  <c r="AN30"/>
  <c r="M90" i="15"/>
  <c r="M132" s="1"/>
  <c r="L134"/>
  <c r="M134" s="1"/>
  <c r="AC280" i="12"/>
  <c r="AH280"/>
  <c r="AC59"/>
  <c r="AH59"/>
  <c r="AH130"/>
  <c r="AC130"/>
  <c r="AH170"/>
  <c r="AC170"/>
  <c r="AC29"/>
  <c r="AH29"/>
  <c r="AC286"/>
  <c r="AH286"/>
  <c r="AG27"/>
  <c r="AN28" s="1"/>
  <c r="AC132"/>
  <c r="AH132"/>
  <c r="AC180"/>
  <c r="AH180"/>
  <c r="AC32"/>
  <c r="AH32"/>
  <c r="AC123"/>
  <c r="AH123"/>
  <c r="AC156"/>
  <c r="AH156"/>
  <c r="AN60"/>
  <c r="M60" i="15"/>
  <c r="AN52" i="12"/>
  <c r="AH103"/>
  <c r="AJ103" s="1"/>
  <c r="AK103" s="1"/>
  <c r="AH256"/>
  <c r="AJ256" s="1"/>
  <c r="AK256" s="1"/>
  <c r="AM256" s="1"/>
  <c r="AH88"/>
  <c r="AJ88" s="1"/>
  <c r="AK88" s="1"/>
  <c r="AJ232"/>
  <c r="AK232" s="1"/>
  <c r="AH162"/>
  <c r="AJ162" s="1"/>
  <c r="AK162" s="1"/>
  <c r="AN156"/>
  <c r="AN124"/>
  <c r="AN194"/>
  <c r="AN204"/>
  <c r="AH155"/>
  <c r="AJ155" s="1"/>
  <c r="AK155" s="1"/>
  <c r="AH306"/>
  <c r="AJ306" s="1"/>
  <c r="AK306" s="1"/>
  <c r="AN294"/>
  <c r="AH163"/>
  <c r="AJ163" s="1"/>
  <c r="AK163" s="1"/>
  <c r="AN58"/>
  <c r="AH231"/>
  <c r="AJ231" s="1"/>
  <c r="AK231" s="1"/>
  <c r="AH222"/>
  <c r="AJ222" s="1"/>
  <c r="AK222" s="1"/>
  <c r="AN42"/>
  <c r="AH60"/>
  <c r="AJ60" s="1"/>
  <c r="AK60" s="1"/>
  <c r="AH65"/>
  <c r="AJ65" s="1"/>
  <c r="AK65" s="1"/>
  <c r="AN102"/>
  <c r="AH288"/>
  <c r="AJ288" s="1"/>
  <c r="AK288" s="1"/>
  <c r="AN126"/>
  <c r="AN180"/>
  <c r="AN32"/>
  <c r="AN202"/>
  <c r="AC201"/>
  <c r="AH201"/>
  <c r="AC46"/>
  <c r="AH46"/>
  <c r="AH145"/>
  <c r="AC145"/>
  <c r="AC112"/>
  <c r="AJ112" s="1"/>
  <c r="AK112" s="1"/>
  <c r="AH112"/>
  <c r="AC134"/>
  <c r="AH134"/>
  <c r="M80" i="19"/>
  <c r="M122" s="1"/>
  <c r="L122"/>
  <c r="F25" i="1"/>
  <c r="F41" s="1"/>
  <c r="F44" s="1"/>
  <c r="E41"/>
  <c r="E44" s="1"/>
  <c r="AH263" i="12"/>
  <c r="AC263"/>
  <c r="AC223"/>
  <c r="AH223"/>
  <c r="AH53"/>
  <c r="AC53"/>
  <c r="AN178"/>
  <c r="AH171"/>
  <c r="AJ171" s="1"/>
  <c r="AK171" s="1"/>
  <c r="AM172" s="1"/>
  <c r="AH178"/>
  <c r="AJ178" s="1"/>
  <c r="AK178" s="1"/>
  <c r="G28" i="2"/>
  <c r="F34" s="1"/>
  <c r="AN54" i="12"/>
  <c r="AJ196"/>
  <c r="AK196" s="1"/>
  <c r="AH164"/>
  <c r="AJ164" s="1"/>
  <c r="AK164" s="1"/>
  <c r="AH96"/>
  <c r="AJ96" s="1"/>
  <c r="AK96" s="1"/>
  <c r="L60" i="15"/>
  <c r="L63" s="1"/>
  <c r="AN306" i="12"/>
  <c r="AH82"/>
  <c r="AJ82" s="1"/>
  <c r="AK82" s="1"/>
  <c r="AN38"/>
  <c r="AH149"/>
  <c r="AJ149" s="1"/>
  <c r="AK149" s="1"/>
  <c r="AJ30"/>
  <c r="AK30" s="1"/>
  <c r="AH69"/>
  <c r="AJ69" s="1"/>
  <c r="AK69" s="1"/>
  <c r="AH141"/>
  <c r="AJ141" s="1"/>
  <c r="AK141" s="1"/>
  <c r="AC38"/>
  <c r="AH38"/>
  <c r="AG251"/>
  <c r="AN252" s="1"/>
  <c r="AH290"/>
  <c r="AC290"/>
  <c r="AC28"/>
  <c r="AH28"/>
  <c r="AC270"/>
  <c r="AH270"/>
  <c r="AC260"/>
  <c r="AH260"/>
  <c r="AH274"/>
  <c r="AJ274" s="1"/>
  <c r="AK274" s="1"/>
  <c r="AM274" s="1"/>
  <c r="AH64"/>
  <c r="AJ64" s="1"/>
  <c r="AK64" s="1"/>
  <c r="AN98"/>
  <c r="AH174"/>
  <c r="AJ174" s="1"/>
  <c r="AK174" s="1"/>
  <c r="AH292"/>
  <c r="AJ292" s="1"/>
  <c r="AK292" s="1"/>
  <c r="AH153"/>
  <c r="AJ153" s="1"/>
  <c r="AK153" s="1"/>
  <c r="AN76"/>
  <c r="AH51"/>
  <c r="AN300"/>
  <c r="AN240"/>
  <c r="AH97"/>
  <c r="AJ97" s="1"/>
  <c r="AK97" s="1"/>
  <c r="AH296"/>
  <c r="AJ296" s="1"/>
  <c r="AK296" s="1"/>
  <c r="E25" i="2"/>
  <c r="F32" s="1"/>
  <c r="AN172" i="12"/>
  <c r="AN280"/>
  <c r="L124" i="19"/>
  <c r="F28" i="2"/>
  <c r="D33" s="1"/>
  <c r="AH54" i="12"/>
  <c r="AJ54" s="1"/>
  <c r="AK54" s="1"/>
  <c r="AH98"/>
  <c r="AJ98" s="1"/>
  <c r="AK98" s="1"/>
  <c r="AH227"/>
  <c r="AN140"/>
  <c r="AN88"/>
  <c r="AH91"/>
  <c r="AJ91" s="1"/>
  <c r="AK91" s="1"/>
  <c r="AH68"/>
  <c r="AC68"/>
  <c r="AG263"/>
  <c r="AN264" s="1"/>
  <c r="AC251"/>
  <c r="AH251"/>
  <c r="AC242"/>
  <c r="AC252"/>
  <c r="AH252"/>
  <c r="AH202"/>
  <c r="AC202"/>
  <c r="AC228"/>
  <c r="AH228"/>
  <c r="AH177"/>
  <c r="AC177"/>
  <c r="AJ62"/>
  <c r="AK62" s="1"/>
  <c r="AM62" s="1"/>
  <c r="AH70"/>
  <c r="AJ70" s="1"/>
  <c r="AK70" s="1"/>
  <c r="AH67"/>
  <c r="AJ67" s="1"/>
  <c r="AK67" s="1"/>
  <c r="AJ193"/>
  <c r="AK193" s="1"/>
  <c r="AN170"/>
  <c r="AN224"/>
  <c r="AN46"/>
  <c r="AH42"/>
  <c r="AJ42" s="1"/>
  <c r="AK42" s="1"/>
  <c r="AN50"/>
  <c r="AH140"/>
  <c r="AJ140" s="1"/>
  <c r="AK140" s="1"/>
  <c r="AH50"/>
  <c r="AJ50" s="1"/>
  <c r="AK50" s="1"/>
  <c r="AH264"/>
  <c r="AC264"/>
  <c r="AH36"/>
  <c r="AC36"/>
  <c r="AH242"/>
  <c r="AG242"/>
  <c r="AN242" s="1"/>
  <c r="AH184"/>
  <c r="AC184"/>
  <c r="M19" i="19"/>
  <c r="M52" s="1"/>
  <c r="L54"/>
  <c r="M54" s="1"/>
  <c r="L52"/>
  <c r="AH93" i="12"/>
  <c r="AC93"/>
  <c r="AC133"/>
  <c r="AH133"/>
  <c r="AH52"/>
  <c r="AJ52" s="1"/>
  <c r="AK52" s="1"/>
  <c r="AH159"/>
  <c r="AJ254"/>
  <c r="AK254" s="1"/>
  <c r="AN212"/>
  <c r="AN120"/>
  <c r="AN272"/>
  <c r="AH72"/>
  <c r="AJ72" s="1"/>
  <c r="AK72" s="1"/>
  <c r="AM72" s="1"/>
  <c r="AH187"/>
  <c r="AJ187" s="1"/>
  <c r="AK187" s="1"/>
  <c r="AH238"/>
  <c r="AJ238" s="1"/>
  <c r="AK238" s="1"/>
  <c r="AJ210"/>
  <c r="AK210" s="1"/>
  <c r="AH110"/>
  <c r="AJ110" s="1"/>
  <c r="AK110" s="1"/>
  <c r="AH146"/>
  <c r="AJ146" s="1"/>
  <c r="AK146" s="1"/>
  <c r="AN22"/>
  <c r="AN308"/>
  <c r="AN34"/>
  <c r="AH266"/>
  <c r="AJ266" s="1"/>
  <c r="AK266" s="1"/>
  <c r="AH240"/>
  <c r="AJ240" s="1"/>
  <c r="AK240" s="1"/>
  <c r="AN296"/>
  <c r="AH121"/>
  <c r="AJ121" s="1"/>
  <c r="AK121" s="1"/>
  <c r="AH259"/>
  <c r="AJ259" s="1"/>
  <c r="AK259" s="1"/>
  <c r="AH102"/>
  <c r="AJ102" s="1"/>
  <c r="AK102" s="1"/>
  <c r="AN148"/>
  <c r="AH250"/>
  <c r="AJ250" s="1"/>
  <c r="AK250" s="1"/>
  <c r="AN36"/>
  <c r="AH258"/>
  <c r="AC258"/>
  <c r="AC74"/>
  <c r="AH74"/>
  <c r="AC148"/>
  <c r="AH148"/>
  <c r="AC111"/>
  <c r="AH111"/>
  <c r="AC100"/>
  <c r="AH100"/>
  <c r="AH27"/>
  <c r="AC27"/>
  <c r="AH147"/>
  <c r="AC147"/>
  <c r="AC175"/>
  <c r="AH175"/>
  <c r="AC283"/>
  <c r="AH283"/>
  <c r="AH150"/>
  <c r="AC150"/>
  <c r="AC24"/>
  <c r="AH24"/>
  <c r="AC35"/>
  <c r="AH35"/>
  <c r="AG133"/>
  <c r="AN134" s="1"/>
  <c r="AH56"/>
  <c r="AJ56" s="1"/>
  <c r="AK56" s="1"/>
  <c r="AH214"/>
  <c r="AJ214" s="1"/>
  <c r="AK214" s="1"/>
  <c r="AN44"/>
  <c r="AN196"/>
  <c r="L132" i="15"/>
  <c r="AN146" i="12"/>
  <c r="AN208"/>
  <c r="AH101"/>
  <c r="AJ101" s="1"/>
  <c r="AK101" s="1"/>
  <c r="AN62"/>
  <c r="AJ126"/>
  <c r="AK126" s="1"/>
  <c r="AH295"/>
  <c r="AJ295" s="1"/>
  <c r="AK295" s="1"/>
  <c r="AN216"/>
  <c r="AM90"/>
  <c r="F86" i="1"/>
  <c r="F102" s="1"/>
  <c r="F104" s="1"/>
  <c r="F46" s="1"/>
  <c r="E102"/>
  <c r="E104" s="1"/>
  <c r="E46" s="1"/>
  <c r="AJ116" i="12"/>
  <c r="AK116" s="1"/>
  <c r="AH236"/>
  <c r="AJ236" s="1"/>
  <c r="AK236" s="1"/>
  <c r="AJ40"/>
  <c r="AK40" s="1"/>
  <c r="AJ246"/>
  <c r="AK246" s="1"/>
  <c r="AN154"/>
  <c r="AH200"/>
  <c r="AJ200" s="1"/>
  <c r="AK200" s="1"/>
  <c r="AN182"/>
  <c r="AH203"/>
  <c r="AJ203" s="1"/>
  <c r="AK203" s="1"/>
  <c r="AH239"/>
  <c r="AJ239" s="1"/>
  <c r="AK239" s="1"/>
  <c r="AH26"/>
  <c r="AJ26" s="1"/>
  <c r="AK26" s="1"/>
  <c r="AH219"/>
  <c r="AJ219" s="1"/>
  <c r="AK219" s="1"/>
  <c r="AM220" s="1"/>
  <c r="AJ208"/>
  <c r="AK208" s="1"/>
  <c r="AH84"/>
  <c r="AJ84" s="1"/>
  <c r="AK84" s="1"/>
  <c r="AH185"/>
  <c r="AJ185" s="1"/>
  <c r="AK185" s="1"/>
  <c r="AM186" s="1"/>
  <c r="AH207"/>
  <c r="AJ207" s="1"/>
  <c r="AK207" s="1"/>
  <c r="AH190"/>
  <c r="AJ190" s="1"/>
  <c r="AK190" s="1"/>
  <c r="AN226"/>
  <c r="AH87"/>
  <c r="AJ87" s="1"/>
  <c r="AK87" s="1"/>
  <c r="AN66"/>
  <c r="AH287"/>
  <c r="AJ287" s="1"/>
  <c r="AK287" s="1"/>
  <c r="AN162"/>
  <c r="AJ118"/>
  <c r="AK118" s="1"/>
  <c r="AM118" s="1"/>
  <c r="AN122"/>
  <c r="AH235"/>
  <c r="AJ235" s="1"/>
  <c r="AK235" s="1"/>
  <c r="AH299"/>
  <c r="AJ299" s="1"/>
  <c r="AK299" s="1"/>
  <c r="AN200"/>
  <c r="AN82"/>
  <c r="AN292"/>
  <c r="AH139"/>
  <c r="AJ139" s="1"/>
  <c r="AK139" s="1"/>
  <c r="AN198"/>
  <c r="AH109"/>
  <c r="AJ109" s="1"/>
  <c r="AK109" s="1"/>
  <c r="AH45"/>
  <c r="AJ45" s="1"/>
  <c r="AK45" s="1"/>
  <c r="AN214"/>
  <c r="AH125"/>
  <c r="AJ125" s="1"/>
  <c r="AK125" s="1"/>
  <c r="AN254"/>
  <c r="AH114"/>
  <c r="AJ114" s="1"/>
  <c r="AK114" s="1"/>
  <c r="AH92"/>
  <c r="AJ92" s="1"/>
  <c r="AK92" s="1"/>
  <c r="AN142"/>
  <c r="AN236"/>
  <c r="AH282"/>
  <c r="AJ282" s="1"/>
  <c r="AK282" s="1"/>
  <c r="AJ182"/>
  <c r="AK182" s="1"/>
  <c r="AM182" s="1"/>
  <c r="AH204"/>
  <c r="AJ204" s="1"/>
  <c r="AK204" s="1"/>
  <c r="AH77"/>
  <c r="AJ77" s="1"/>
  <c r="AK77" s="1"/>
  <c r="AM78" s="1"/>
  <c r="AH192"/>
  <c r="AJ192" s="1"/>
  <c r="AK192" s="1"/>
  <c r="AM192" s="1"/>
  <c r="AH199"/>
  <c r="AJ199" s="1"/>
  <c r="AK199" s="1"/>
  <c r="AN116"/>
  <c r="AJ128"/>
  <c r="AK128" s="1"/>
  <c r="AH124"/>
  <c r="AJ124" s="1"/>
  <c r="AK124" s="1"/>
  <c r="AH81"/>
  <c r="AJ81" s="1"/>
  <c r="AK81" s="1"/>
  <c r="AN276"/>
  <c r="AJ206"/>
  <c r="AK206" s="1"/>
  <c r="AH58"/>
  <c r="AJ58" s="1"/>
  <c r="AK58" s="1"/>
  <c r="AN256"/>
  <c r="AH225"/>
  <c r="AJ225" s="1"/>
  <c r="AK225" s="1"/>
  <c r="AN40"/>
  <c r="AN92"/>
  <c r="AJ294"/>
  <c r="AK294" s="1"/>
  <c r="AM294" s="1"/>
  <c r="AH213"/>
  <c r="AJ213" s="1"/>
  <c r="AK213" s="1"/>
  <c r="AN26"/>
  <c r="AJ108"/>
  <c r="AK108" s="1"/>
  <c r="AH161"/>
  <c r="AJ161" s="1"/>
  <c r="AK161" s="1"/>
  <c r="AN144"/>
  <c r="AJ76"/>
  <c r="AK76" s="1"/>
  <c r="AH215"/>
  <c r="AJ215" s="1"/>
  <c r="AK215" s="1"/>
  <c r="AJ253"/>
  <c r="AK253" s="1"/>
  <c r="AN136"/>
  <c r="AJ230"/>
  <c r="AK230" s="1"/>
  <c r="AH211"/>
  <c r="AJ211" s="1"/>
  <c r="AK211" s="1"/>
  <c r="AH265"/>
  <c r="AJ265" s="1"/>
  <c r="AK265" s="1"/>
  <c r="AH66"/>
  <c r="AJ66" s="1"/>
  <c r="AK66" s="1"/>
  <c r="AH300"/>
  <c r="AJ300" s="1"/>
  <c r="AK300" s="1"/>
  <c r="AJ183"/>
  <c r="AK183" s="1"/>
  <c r="AH233"/>
  <c r="AJ233" s="1"/>
  <c r="AK233" s="1"/>
  <c r="AH94"/>
  <c r="AJ94" s="1"/>
  <c r="AK94" s="1"/>
  <c r="AJ47"/>
  <c r="AK47" s="1"/>
  <c r="AM48" s="1"/>
  <c r="AH284"/>
  <c r="AJ284" s="1"/>
  <c r="AK284" s="1"/>
  <c r="AH43"/>
  <c r="AJ43" s="1"/>
  <c r="AK43" s="1"/>
  <c r="AH169"/>
  <c r="AJ169" s="1"/>
  <c r="AK169" s="1"/>
  <c r="AH119"/>
  <c r="AJ119" s="1"/>
  <c r="AK119" s="1"/>
  <c r="AH257"/>
  <c r="AJ257" s="1"/>
  <c r="AK257" s="1"/>
  <c r="AJ279"/>
  <c r="AK279" s="1"/>
  <c r="AN206"/>
  <c r="AH307"/>
  <c r="AJ307" s="1"/>
  <c r="AK307" s="1"/>
  <c r="AH291"/>
  <c r="AJ291" s="1"/>
  <c r="AK291" s="1"/>
  <c r="AJ262"/>
  <c r="AK262" s="1"/>
  <c r="AH105"/>
  <c r="AJ105" s="1"/>
  <c r="AK105" s="1"/>
  <c r="AH39"/>
  <c r="AJ39" s="1"/>
  <c r="AK39" s="1"/>
  <c r="AH197"/>
  <c r="AJ197" s="1"/>
  <c r="AK197" s="1"/>
  <c r="AH131"/>
  <c r="AJ131" s="1"/>
  <c r="AK131" s="1"/>
  <c r="AH142"/>
  <c r="AJ142" s="1"/>
  <c r="AK142" s="1"/>
  <c r="AH44"/>
  <c r="AJ44" s="1"/>
  <c r="AK44" s="1"/>
  <c r="AH308"/>
  <c r="AJ308" s="1"/>
  <c r="AK308" s="1"/>
  <c r="AJ154"/>
  <c r="AK154" s="1"/>
  <c r="AN108"/>
  <c r="AH49"/>
  <c r="AJ49" s="1"/>
  <c r="AK49" s="1"/>
  <c r="AM50" s="1"/>
  <c r="AH122"/>
  <c r="AJ122" s="1"/>
  <c r="AK122" s="1"/>
  <c r="AN114"/>
  <c r="AH144"/>
  <c r="AJ144" s="1"/>
  <c r="AK144" s="1"/>
  <c r="AM144" s="1"/>
  <c r="AH135"/>
  <c r="AJ135" s="1"/>
  <c r="AK135" s="1"/>
  <c r="AM136" s="1"/>
  <c r="AH151"/>
  <c r="AJ151" s="1"/>
  <c r="AK151" s="1"/>
  <c r="AH157"/>
  <c r="AJ157" s="1"/>
  <c r="AK157" s="1"/>
  <c r="AM158" s="1"/>
  <c r="AH268"/>
  <c r="AJ268" s="1"/>
  <c r="AK268" s="1"/>
  <c r="AN230"/>
  <c r="AN84"/>
  <c r="AN210"/>
  <c r="AN246"/>
  <c r="AH275"/>
  <c r="AJ275" s="1"/>
  <c r="AK275" s="1"/>
  <c r="AM276" s="1"/>
  <c r="AH21"/>
  <c r="AJ21" s="1"/>
  <c r="AK21" s="1"/>
  <c r="AH205"/>
  <c r="AJ205" s="1"/>
  <c r="AK205" s="1"/>
  <c r="AH241"/>
  <c r="AJ241" s="1"/>
  <c r="AK241" s="1"/>
  <c r="AH224"/>
  <c r="AJ224" s="1"/>
  <c r="AK224" s="1"/>
  <c r="AH41"/>
  <c r="AJ41" s="1"/>
  <c r="AK41" s="1"/>
  <c r="AH167"/>
  <c r="AJ167" s="1"/>
  <c r="AK167" s="1"/>
  <c r="AM168" s="1"/>
  <c r="AN268"/>
  <c r="AJ129"/>
  <c r="AK129" s="1"/>
  <c r="AH25"/>
  <c r="AJ25" s="1"/>
  <c r="AK25" s="1"/>
  <c r="AH107"/>
  <c r="AJ107" s="1"/>
  <c r="AK107" s="1"/>
  <c r="AH113"/>
  <c r="AJ113" s="1"/>
  <c r="AK113" s="1"/>
  <c r="AH85"/>
  <c r="AJ85" s="1"/>
  <c r="AK85" s="1"/>
  <c r="AN218"/>
  <c r="AH194"/>
  <c r="AJ194" s="1"/>
  <c r="AK194" s="1"/>
  <c r="AH289"/>
  <c r="AJ289" s="1"/>
  <c r="AK289" s="1"/>
  <c r="AH271"/>
  <c r="AJ271" s="1"/>
  <c r="AK271" s="1"/>
  <c r="AJ51"/>
  <c r="AK51" s="1"/>
  <c r="AH269"/>
  <c r="AJ269" s="1"/>
  <c r="AK269" s="1"/>
  <c r="AJ83"/>
  <c r="AK83" s="1"/>
  <c r="AJ243"/>
  <c r="AK243" s="1"/>
  <c r="AN298"/>
  <c r="AH278"/>
  <c r="AJ278" s="1"/>
  <c r="AK278" s="1"/>
  <c r="AM278" s="1"/>
  <c r="AH195"/>
  <c r="AJ195" s="1"/>
  <c r="AK195" s="1"/>
  <c r="AM196" s="1"/>
  <c r="AJ159"/>
  <c r="AK159" s="1"/>
  <c r="AH209"/>
  <c r="AJ209" s="1"/>
  <c r="AK209" s="1"/>
  <c r="AN282"/>
  <c r="AH245"/>
  <c r="AJ245" s="1"/>
  <c r="AK245" s="1"/>
  <c r="AN118"/>
  <c r="AN80"/>
  <c r="AJ227"/>
  <c r="AK227" s="1"/>
  <c r="AH127"/>
  <c r="AJ127" s="1"/>
  <c r="AK127" s="1"/>
  <c r="AM128" s="1"/>
  <c r="AN138"/>
  <c r="AN96"/>
  <c r="AN72"/>
  <c r="AH303"/>
  <c r="AJ303" s="1"/>
  <c r="AK303" s="1"/>
  <c r="AN90"/>
  <c r="AH33"/>
  <c r="AJ33" s="1"/>
  <c r="AK33" s="1"/>
  <c r="AJ267"/>
  <c r="AK267" s="1"/>
  <c r="AH285"/>
  <c r="AJ285" s="1"/>
  <c r="AK285" s="1"/>
  <c r="AH305"/>
  <c r="AJ305" s="1"/>
  <c r="AK305" s="1"/>
  <c r="AJ217"/>
  <c r="AK217" s="1"/>
  <c r="AN166"/>
  <c r="AH249"/>
  <c r="AJ249" s="1"/>
  <c r="AK249" s="1"/>
  <c r="AN56"/>
  <c r="AH37"/>
  <c r="AJ37" s="1"/>
  <c r="AK37" s="1"/>
  <c r="AN190"/>
  <c r="AN64"/>
  <c r="AH31"/>
  <c r="AJ31" s="1"/>
  <c r="AK31" s="1"/>
  <c r="AT80" l="1"/>
  <c r="R80" s="1"/>
  <c r="AS80"/>
  <c r="Q80" s="1"/>
  <c r="AM212"/>
  <c r="AM188"/>
  <c r="L143" i="15"/>
  <c r="Q143" s="1"/>
  <c r="AM246" i="12"/>
  <c r="AM250"/>
  <c r="AM22"/>
  <c r="AM138"/>
  <c r="AS138" s="1"/>
  <c r="Q138" s="1"/>
  <c r="AM56"/>
  <c r="AJ258"/>
  <c r="AK258" s="1"/>
  <c r="AM258" s="1"/>
  <c r="AM40"/>
  <c r="M63" i="15"/>
  <c r="AJ228" i="12"/>
  <c r="AK228" s="1"/>
  <c r="AM174"/>
  <c r="AM226"/>
  <c r="AM262"/>
  <c r="AS262" s="1"/>
  <c r="Q262" s="1"/>
  <c r="AM120"/>
  <c r="D32" i="2"/>
  <c r="D35" s="1"/>
  <c r="AM248" i="12"/>
  <c r="L133" i="19"/>
  <c r="R133" s="1"/>
  <c r="AM104" i="12"/>
  <c r="AM162"/>
  <c r="AM254"/>
  <c r="AM70"/>
  <c r="AT70" s="1"/>
  <c r="R70" s="1"/>
  <c r="AJ201"/>
  <c r="AK201" s="1"/>
  <c r="AM214"/>
  <c r="AS214" s="1"/>
  <c r="Q214" s="1"/>
  <c r="L141" i="15"/>
  <c r="Q141" s="1"/>
  <c r="M124" i="19"/>
  <c r="M125" s="1"/>
  <c r="AM58" i="12"/>
  <c r="AM222"/>
  <c r="AU222" s="1"/>
  <c r="S222" s="1"/>
  <c r="AM154"/>
  <c r="AS154" s="1"/>
  <c r="Q154" s="1"/>
  <c r="AM64"/>
  <c r="AU64" s="1"/>
  <c r="S64" s="1"/>
  <c r="AM76"/>
  <c r="AS76" s="1"/>
  <c r="Q76" s="1"/>
  <c r="AM282"/>
  <c r="AT282" s="1"/>
  <c r="R282" s="1"/>
  <c r="AM238"/>
  <c r="AM302"/>
  <c r="AM216"/>
  <c r="AS216" s="1"/>
  <c r="Q216" s="1"/>
  <c r="AM126"/>
  <c r="AS126" s="1"/>
  <c r="Q126" s="1"/>
  <c r="AJ283"/>
  <c r="AK283" s="1"/>
  <c r="AM284" s="1"/>
  <c r="AT284" s="1"/>
  <c r="R284" s="1"/>
  <c r="AJ123"/>
  <c r="AK123" s="1"/>
  <c r="AM124" s="1"/>
  <c r="AJ27"/>
  <c r="AK27" s="1"/>
  <c r="AJ134"/>
  <c r="AK134" s="1"/>
  <c r="AM194"/>
  <c r="AM106"/>
  <c r="AT106" s="1"/>
  <c r="R106" s="1"/>
  <c r="AM234"/>
  <c r="AU234" s="1"/>
  <c r="S234" s="1"/>
  <c r="F33" i="2"/>
  <c r="F35" s="1"/>
  <c r="F38" s="1"/>
  <c r="F40" s="1"/>
  <c r="AJ68" i="12"/>
  <c r="AK68" s="1"/>
  <c r="AM68" s="1"/>
  <c r="AJ46"/>
  <c r="AK46" s="1"/>
  <c r="AM46" s="1"/>
  <c r="AJ132"/>
  <c r="AK132" s="1"/>
  <c r="AM132" s="1"/>
  <c r="AT132" s="1"/>
  <c r="R132" s="1"/>
  <c r="AJ170"/>
  <c r="AK170" s="1"/>
  <c r="AM170" s="1"/>
  <c r="AS170" s="1"/>
  <c r="Q170" s="1"/>
  <c r="AJ244"/>
  <c r="AK244" s="1"/>
  <c r="AM244" s="1"/>
  <c r="AM306"/>
  <c r="AO306" s="1"/>
  <c r="AM190"/>
  <c r="AS190" s="1"/>
  <c r="Q190" s="1"/>
  <c r="AM88"/>
  <c r="AU88" s="1"/>
  <c r="S88" s="1"/>
  <c r="AM160"/>
  <c r="AT160" s="1"/>
  <c r="R160" s="1"/>
  <c r="AM52"/>
  <c r="L135" i="15"/>
  <c r="L144" s="1"/>
  <c r="Q144" s="1"/>
  <c r="AJ264" i="12"/>
  <c r="AK264" s="1"/>
  <c r="AM232"/>
  <c r="AO232" s="1"/>
  <c r="AJ29"/>
  <c r="AK29" s="1"/>
  <c r="AM30" s="1"/>
  <c r="AM206"/>
  <c r="AU206" s="1"/>
  <c r="S206" s="1"/>
  <c r="AJ175"/>
  <c r="AK175" s="1"/>
  <c r="AM176" s="1"/>
  <c r="AS176" s="1"/>
  <c r="Q176" s="1"/>
  <c r="AJ252"/>
  <c r="AK252" s="1"/>
  <c r="AM96"/>
  <c r="AU96" s="1"/>
  <c r="S96" s="1"/>
  <c r="AM34"/>
  <c r="AS34" s="1"/>
  <c r="Q34" s="1"/>
  <c r="AM210"/>
  <c r="AO210" s="1"/>
  <c r="AJ184"/>
  <c r="AK184" s="1"/>
  <c r="AM184" s="1"/>
  <c r="AU184" s="1"/>
  <c r="S184" s="1"/>
  <c r="AM272"/>
  <c r="AS272" s="1"/>
  <c r="Q272" s="1"/>
  <c r="AM236"/>
  <c r="AT236" s="1"/>
  <c r="R236" s="1"/>
  <c r="AM102"/>
  <c r="AU102" s="1"/>
  <c r="S102" s="1"/>
  <c r="AM298"/>
  <c r="AO298" s="1"/>
  <c r="AM142"/>
  <c r="AO142" s="1"/>
  <c r="F48" i="1"/>
  <c r="AM86" i="12"/>
  <c r="AT86" s="1"/>
  <c r="R86" s="1"/>
  <c r="AM218"/>
  <c r="AO218" s="1"/>
  <c r="AM304"/>
  <c r="AT304" s="1"/>
  <c r="R304" s="1"/>
  <c r="AM152"/>
  <c r="E48" i="1"/>
  <c r="AJ242" i="12"/>
  <c r="AK242" s="1"/>
  <c r="AM242" s="1"/>
  <c r="AJ53"/>
  <c r="AK53" s="1"/>
  <c r="AM54" s="1"/>
  <c r="AM300"/>
  <c r="AU300" s="1"/>
  <c r="S300" s="1"/>
  <c r="AJ290"/>
  <c r="AK290" s="1"/>
  <c r="AM290" s="1"/>
  <c r="L125" i="19"/>
  <c r="AM116" i="12"/>
  <c r="AU116" s="1"/>
  <c r="S116" s="1"/>
  <c r="AJ100"/>
  <c r="AK100" s="1"/>
  <c r="AM100" s="1"/>
  <c r="AS100" s="1"/>
  <c r="Q100" s="1"/>
  <c r="AJ133"/>
  <c r="AK133" s="1"/>
  <c r="AJ177"/>
  <c r="AK177" s="1"/>
  <c r="AM178" s="1"/>
  <c r="AT178" s="1"/>
  <c r="R178" s="1"/>
  <c r="AJ28"/>
  <c r="AK28" s="1"/>
  <c r="AM28" s="1"/>
  <c r="AJ145"/>
  <c r="AK145" s="1"/>
  <c r="AM146" s="1"/>
  <c r="AO146" s="1"/>
  <c r="AJ130"/>
  <c r="AK130" s="1"/>
  <c r="AM130" s="1"/>
  <c r="AM98"/>
  <c r="AU98" s="1"/>
  <c r="S98" s="1"/>
  <c r="AJ156"/>
  <c r="AK156" s="1"/>
  <c r="AM156" s="1"/>
  <c r="AJ270"/>
  <c r="AK270" s="1"/>
  <c r="AM270" s="1"/>
  <c r="AJ74"/>
  <c r="AK74" s="1"/>
  <c r="AM74" s="1"/>
  <c r="AU74" s="1"/>
  <c r="S74" s="1"/>
  <c r="M55" i="19"/>
  <c r="AJ38" i="12"/>
  <c r="AK38" s="1"/>
  <c r="AM38" s="1"/>
  <c r="AM92"/>
  <c r="AU92" s="1"/>
  <c r="S92" s="1"/>
  <c r="AJ223"/>
  <c r="AK223" s="1"/>
  <c r="AJ36"/>
  <c r="AK36" s="1"/>
  <c r="AJ32"/>
  <c r="AK32" s="1"/>
  <c r="AM32" s="1"/>
  <c r="AJ59"/>
  <c r="AK59" s="1"/>
  <c r="AM60" s="1"/>
  <c r="AO60" s="1"/>
  <c r="AS62"/>
  <c r="Q62" s="1"/>
  <c r="AT62"/>
  <c r="R62" s="1"/>
  <c r="AO62"/>
  <c r="AU62"/>
  <c r="S62" s="1"/>
  <c r="AO222"/>
  <c r="AM42"/>
  <c r="AS42" s="1"/>
  <c r="Q42" s="1"/>
  <c r="AJ251"/>
  <c r="AK251" s="1"/>
  <c r="AM140"/>
  <c r="AU140" s="1"/>
  <c r="S140" s="1"/>
  <c r="AM296"/>
  <c r="AS296" s="1"/>
  <c r="Q296" s="1"/>
  <c r="AM122"/>
  <c r="AT122" s="1"/>
  <c r="R122" s="1"/>
  <c r="D34" i="2"/>
  <c r="AM230" i="12"/>
  <c r="AU230" s="1"/>
  <c r="S230" s="1"/>
  <c r="AM288"/>
  <c r="AT288" s="1"/>
  <c r="R288" s="1"/>
  <c r="AJ150"/>
  <c r="AK150" s="1"/>
  <c r="AM150" s="1"/>
  <c r="AJ147"/>
  <c r="AK147" s="1"/>
  <c r="AJ111"/>
  <c r="AK111" s="1"/>
  <c r="AM112" s="1"/>
  <c r="AJ180"/>
  <c r="AK180" s="1"/>
  <c r="AM180" s="1"/>
  <c r="AJ280"/>
  <c r="AK280" s="1"/>
  <c r="AM280" s="1"/>
  <c r="AM292"/>
  <c r="AO292" s="1"/>
  <c r="AU80"/>
  <c r="S80" s="1"/>
  <c r="AJ24"/>
  <c r="AK24" s="1"/>
  <c r="AM24" s="1"/>
  <c r="AM200"/>
  <c r="AO200" s="1"/>
  <c r="AM266"/>
  <c r="AO266" s="1"/>
  <c r="AJ35"/>
  <c r="AK35" s="1"/>
  <c r="AJ260"/>
  <c r="AK260" s="1"/>
  <c r="AM260" s="1"/>
  <c r="AJ286"/>
  <c r="AK286" s="1"/>
  <c r="AM286" s="1"/>
  <c r="L131" i="19"/>
  <c r="R131" s="1"/>
  <c r="L55"/>
  <c r="AM66" i="12"/>
  <c r="AS66" s="1"/>
  <c r="Q66" s="1"/>
  <c r="AO80"/>
  <c r="AM198"/>
  <c r="AU198" s="1"/>
  <c r="S198" s="1"/>
  <c r="AM110"/>
  <c r="AU110" s="1"/>
  <c r="S110" s="1"/>
  <c r="M135" i="15"/>
  <c r="AM228" i="12"/>
  <c r="AO228" s="1"/>
  <c r="AM108"/>
  <c r="AU108" s="1"/>
  <c r="S108" s="1"/>
  <c r="AM224"/>
  <c r="AT224" s="1"/>
  <c r="R224" s="1"/>
  <c r="AJ148"/>
  <c r="AK148" s="1"/>
  <c r="AJ93"/>
  <c r="AK93" s="1"/>
  <c r="AM94" s="1"/>
  <c r="AS94" s="1"/>
  <c r="Q94" s="1"/>
  <c r="AJ202"/>
  <c r="AK202" s="1"/>
  <c r="AM202" s="1"/>
  <c r="AJ263"/>
  <c r="AK263" s="1"/>
  <c r="AM164"/>
  <c r="AU212"/>
  <c r="S212" s="1"/>
  <c r="AT212"/>
  <c r="R212" s="1"/>
  <c r="AO212"/>
  <c r="AS212"/>
  <c r="Q212" s="1"/>
  <c r="AS200"/>
  <c r="Q200" s="1"/>
  <c r="AU200"/>
  <c r="S200" s="1"/>
  <c r="AT190"/>
  <c r="R190" s="1"/>
  <c r="AO190"/>
  <c r="AU106"/>
  <c r="S106" s="1"/>
  <c r="AT192"/>
  <c r="R192" s="1"/>
  <c r="AU192"/>
  <c r="S192" s="1"/>
  <c r="AO192"/>
  <c r="AS192"/>
  <c r="Q192" s="1"/>
  <c r="AT182"/>
  <c r="R182" s="1"/>
  <c r="AO182"/>
  <c r="AU182"/>
  <c r="S182" s="1"/>
  <c r="AS182"/>
  <c r="Q182" s="1"/>
  <c r="AT144"/>
  <c r="R144" s="1"/>
  <c r="AS144"/>
  <c r="Q144" s="1"/>
  <c r="AO144"/>
  <c r="AU144"/>
  <c r="S144" s="1"/>
  <c r="AS88"/>
  <c r="Q88" s="1"/>
  <c r="AT272"/>
  <c r="R272" s="1"/>
  <c r="AU272"/>
  <c r="S272" s="1"/>
  <c r="AO118"/>
  <c r="AS118"/>
  <c r="Q118" s="1"/>
  <c r="AT118"/>
  <c r="R118" s="1"/>
  <c r="AU118"/>
  <c r="S118" s="1"/>
  <c r="AM26"/>
  <c r="AO92"/>
  <c r="AU236"/>
  <c r="S236" s="1"/>
  <c r="AO236"/>
  <c r="AT256"/>
  <c r="R256" s="1"/>
  <c r="AS256"/>
  <c r="Q256" s="1"/>
  <c r="AO256"/>
  <c r="AU256"/>
  <c r="S256" s="1"/>
  <c r="AS128"/>
  <c r="Q128" s="1"/>
  <c r="AU128"/>
  <c r="S128" s="1"/>
  <c r="AT128"/>
  <c r="R128" s="1"/>
  <c r="AO128"/>
  <c r="AS152"/>
  <c r="Q152" s="1"/>
  <c r="AT152"/>
  <c r="R152" s="1"/>
  <c r="AO152"/>
  <c r="AU152"/>
  <c r="S152" s="1"/>
  <c r="AS306"/>
  <c r="Q306" s="1"/>
  <c r="AU194"/>
  <c r="S194" s="1"/>
  <c r="AO194"/>
  <c r="AS194"/>
  <c r="Q194" s="1"/>
  <c r="AT194"/>
  <c r="R194" s="1"/>
  <c r="AO136"/>
  <c r="AT136"/>
  <c r="R136" s="1"/>
  <c r="AU136"/>
  <c r="S136" s="1"/>
  <c r="AS136"/>
  <c r="Q136" s="1"/>
  <c r="AU294"/>
  <c r="S294" s="1"/>
  <c r="AS294"/>
  <c r="Q294" s="1"/>
  <c r="AT294"/>
  <c r="R294" s="1"/>
  <c r="AO294"/>
  <c r="AT220"/>
  <c r="R220" s="1"/>
  <c r="AO220"/>
  <c r="AU220"/>
  <c r="S220" s="1"/>
  <c r="AS220"/>
  <c r="Q220" s="1"/>
  <c r="AU302"/>
  <c r="S302" s="1"/>
  <c r="AT302"/>
  <c r="R302" s="1"/>
  <c r="AO302"/>
  <c r="AS302"/>
  <c r="Q302" s="1"/>
  <c r="AT72"/>
  <c r="R72" s="1"/>
  <c r="AS72"/>
  <c r="Q72" s="1"/>
  <c r="AU72"/>
  <c r="S72" s="1"/>
  <c r="AO72"/>
  <c r="AM308"/>
  <c r="AM44"/>
  <c r="AO174"/>
  <c r="AU174"/>
  <c r="S174" s="1"/>
  <c r="AT174"/>
  <c r="R174" s="1"/>
  <c r="AS174"/>
  <c r="Q174" s="1"/>
  <c r="AO162"/>
  <c r="AS162"/>
  <c r="Q162" s="1"/>
  <c r="AU162"/>
  <c r="S162" s="1"/>
  <c r="AT162"/>
  <c r="R162" s="1"/>
  <c r="AS218"/>
  <c r="Q218" s="1"/>
  <c r="AS276"/>
  <c r="Q276" s="1"/>
  <c r="AT276"/>
  <c r="R276" s="1"/>
  <c r="AO276"/>
  <c r="AU276"/>
  <c r="S276" s="1"/>
  <c r="AT158"/>
  <c r="R158" s="1"/>
  <c r="AS158"/>
  <c r="Q158" s="1"/>
  <c r="AO158"/>
  <c r="AU158"/>
  <c r="S158" s="1"/>
  <c r="AS22"/>
  <c r="AU22"/>
  <c r="AT22"/>
  <c r="AO22"/>
  <c r="AS196"/>
  <c r="Q196" s="1"/>
  <c r="AU196"/>
  <c r="S196" s="1"/>
  <c r="AT196"/>
  <c r="R196" s="1"/>
  <c r="AO196"/>
  <c r="AT216"/>
  <c r="R216" s="1"/>
  <c r="AO214"/>
  <c r="AS254"/>
  <c r="Q254" s="1"/>
  <c r="AT254"/>
  <c r="R254" s="1"/>
  <c r="AO254"/>
  <c r="AU254"/>
  <c r="S254" s="1"/>
  <c r="AT58"/>
  <c r="R58" s="1"/>
  <c r="AO58"/>
  <c r="AS58"/>
  <c r="Q58" s="1"/>
  <c r="AU58"/>
  <c r="S58" s="1"/>
  <c r="AU186"/>
  <c r="S186" s="1"/>
  <c r="AO186"/>
  <c r="AT186"/>
  <c r="R186" s="1"/>
  <c r="AS186"/>
  <c r="Q186" s="1"/>
  <c r="AT166"/>
  <c r="R166" s="1"/>
  <c r="AS166"/>
  <c r="Q166" s="1"/>
  <c r="AU166"/>
  <c r="S166" s="1"/>
  <c r="AO166"/>
  <c r="AU86"/>
  <c r="S86" s="1"/>
  <c r="AO86"/>
  <c r="AS250"/>
  <c r="Q250" s="1"/>
  <c r="AO250"/>
  <c r="AU250"/>
  <c r="S250" s="1"/>
  <c r="AT250"/>
  <c r="R250" s="1"/>
  <c r="AO52"/>
  <c r="AT52"/>
  <c r="R52" s="1"/>
  <c r="AS52"/>
  <c r="Q52" s="1"/>
  <c r="AU52"/>
  <c r="S52" s="1"/>
  <c r="AU56"/>
  <c r="S56" s="1"/>
  <c r="AT56"/>
  <c r="R56" s="1"/>
  <c r="AO56"/>
  <c r="AS56"/>
  <c r="Q56" s="1"/>
  <c r="AM208"/>
  <c r="AU226"/>
  <c r="S226" s="1"/>
  <c r="AO226"/>
  <c r="AS226"/>
  <c r="Q226" s="1"/>
  <c r="AT226"/>
  <c r="R226" s="1"/>
  <c r="AT278"/>
  <c r="R278" s="1"/>
  <c r="AU278"/>
  <c r="S278" s="1"/>
  <c r="AS278"/>
  <c r="Q278" s="1"/>
  <c r="AO278"/>
  <c r="AT50"/>
  <c r="R50" s="1"/>
  <c r="AU50"/>
  <c r="S50" s="1"/>
  <c r="AO50"/>
  <c r="AS50"/>
  <c r="Q50" s="1"/>
  <c r="AU42"/>
  <c r="S42" s="1"/>
  <c r="AT78"/>
  <c r="R78" s="1"/>
  <c r="AS78"/>
  <c r="Q78" s="1"/>
  <c r="AO78"/>
  <c r="AU78"/>
  <c r="S78" s="1"/>
  <c r="AM82"/>
  <c r="AU120"/>
  <c r="S120" s="1"/>
  <c r="AS120"/>
  <c r="Q120" s="1"/>
  <c r="AO120"/>
  <c r="AT120"/>
  <c r="R120" s="1"/>
  <c r="AO154"/>
  <c r="AO274"/>
  <c r="AS274"/>
  <c r="Q274" s="1"/>
  <c r="AT274"/>
  <c r="R274" s="1"/>
  <c r="AU274"/>
  <c r="S274" s="1"/>
  <c r="AS168"/>
  <c r="Q168" s="1"/>
  <c r="AT168"/>
  <c r="R168" s="1"/>
  <c r="AO168"/>
  <c r="AU168"/>
  <c r="S168" s="1"/>
  <c r="AT48"/>
  <c r="R48" s="1"/>
  <c r="AO48"/>
  <c r="AS48"/>
  <c r="Q48" s="1"/>
  <c r="AU48"/>
  <c r="S48" s="1"/>
  <c r="AT248"/>
  <c r="R248" s="1"/>
  <c r="AS248"/>
  <c r="Q248" s="1"/>
  <c r="AU248"/>
  <c r="S248" s="1"/>
  <c r="AO248"/>
  <c r="AO172"/>
  <c r="AT172"/>
  <c r="R172" s="1"/>
  <c r="AS172"/>
  <c r="Q172" s="1"/>
  <c r="AU172"/>
  <c r="S172" s="1"/>
  <c r="AM204"/>
  <c r="AM268"/>
  <c r="AM84"/>
  <c r="AM114"/>
  <c r="AM240"/>
  <c r="AT40"/>
  <c r="R40" s="1"/>
  <c r="AS40"/>
  <c r="Q40" s="1"/>
  <c r="AO40"/>
  <c r="AU40"/>
  <c r="S40" s="1"/>
  <c r="AO188"/>
  <c r="AT188"/>
  <c r="R188" s="1"/>
  <c r="AU188"/>
  <c r="S188" s="1"/>
  <c r="AS188"/>
  <c r="Q188" s="1"/>
  <c r="AO90"/>
  <c r="AT90"/>
  <c r="R90" s="1"/>
  <c r="AS90"/>
  <c r="Q90" s="1"/>
  <c r="AU90"/>
  <c r="S90" s="1"/>
  <c r="AO246"/>
  <c r="AU246"/>
  <c r="S246" s="1"/>
  <c r="AT246"/>
  <c r="R246" s="1"/>
  <c r="AS246"/>
  <c r="Q246" s="1"/>
  <c r="AS238"/>
  <c r="Q238" s="1"/>
  <c r="AO238"/>
  <c r="AT238"/>
  <c r="R238" s="1"/>
  <c r="AU238"/>
  <c r="S238" s="1"/>
  <c r="AO104"/>
  <c r="AS104"/>
  <c r="Q104" s="1"/>
  <c r="AU104"/>
  <c r="S104" s="1"/>
  <c r="AT104"/>
  <c r="R104" s="1"/>
  <c r="AT138"/>
  <c r="R138" s="1"/>
  <c r="AS142" l="1"/>
  <c r="Q142" s="1"/>
  <c r="AT92"/>
  <c r="R92" s="1"/>
  <c r="AU142"/>
  <c r="S142" s="1"/>
  <c r="AS92"/>
  <c r="Q92" s="1"/>
  <c r="AU258"/>
  <c r="S258" s="1"/>
  <c r="AO258"/>
  <c r="AO244"/>
  <c r="AT244"/>
  <c r="R244" s="1"/>
  <c r="AU228"/>
  <c r="S228" s="1"/>
  <c r="AM134"/>
  <c r="AS134" s="1"/>
  <c r="Q134" s="1"/>
  <c r="AU214"/>
  <c r="S214" s="1"/>
  <c r="AS160"/>
  <c r="Q160" s="1"/>
  <c r="AT214"/>
  <c r="R214" s="1"/>
  <c r="AS282"/>
  <c r="Q282" s="1"/>
  <c r="AU138"/>
  <c r="S138" s="1"/>
  <c r="AO138"/>
  <c r="AU34"/>
  <c r="S34" s="1"/>
  <c r="AM148"/>
  <c r="AS148" s="1"/>
  <c r="Q148" s="1"/>
  <c r="AT124"/>
  <c r="R124" s="1"/>
  <c r="AS124"/>
  <c r="Q124" s="1"/>
  <c r="AU70"/>
  <c r="S70" s="1"/>
  <c r="AU218"/>
  <c r="S218" s="1"/>
  <c r="AO70"/>
  <c r="AO64"/>
  <c r="AT218"/>
  <c r="R218" s="1"/>
  <c r="AO262"/>
  <c r="AS64"/>
  <c r="Q64" s="1"/>
  <c r="AT64"/>
  <c r="R64" s="1"/>
  <c r="AT262"/>
  <c r="R262" s="1"/>
  <c r="AU262"/>
  <c r="S262" s="1"/>
  <c r="AT200"/>
  <c r="R200" s="1"/>
  <c r="AM36"/>
  <c r="AT36" s="1"/>
  <c r="R36" s="1"/>
  <c r="AS70"/>
  <c r="Q70" s="1"/>
  <c r="AO224"/>
  <c r="AU46"/>
  <c r="S46" s="1"/>
  <c r="AS46"/>
  <c r="Q46" s="1"/>
  <c r="AO46"/>
  <c r="AO34"/>
  <c r="AU190"/>
  <c r="S190" s="1"/>
  <c r="AT154"/>
  <c r="R154" s="1"/>
  <c r="AU210"/>
  <c r="S210" s="1"/>
  <c r="AT126"/>
  <c r="R126" s="1"/>
  <c r="AS234"/>
  <c r="Q234" s="1"/>
  <c r="AT296"/>
  <c r="R296" s="1"/>
  <c r="AS244"/>
  <c r="Q244" s="1"/>
  <c r="AU160"/>
  <c r="S160" s="1"/>
  <c r="AT76"/>
  <c r="R76" s="1"/>
  <c r="AO122"/>
  <c r="AU124"/>
  <c r="S124" s="1"/>
  <c r="AT88"/>
  <c r="R88" s="1"/>
  <c r="AU282"/>
  <c r="S282" s="1"/>
  <c r="AO126"/>
  <c r="AT74"/>
  <c r="R74" s="1"/>
  <c r="AT34"/>
  <c r="R34" s="1"/>
  <c r="AT222"/>
  <c r="R222" s="1"/>
  <c r="AU154"/>
  <c r="S154" s="1"/>
  <c r="AO110"/>
  <c r="AO296"/>
  <c r="AS110"/>
  <c r="Q110" s="1"/>
  <c r="AO88"/>
  <c r="AO282"/>
  <c r="AU126"/>
  <c r="S126" s="1"/>
  <c r="AM264"/>
  <c r="AS222"/>
  <c r="Q222" s="1"/>
  <c r="AU296"/>
  <c r="S296" s="1"/>
  <c r="AO76"/>
  <c r="AU288"/>
  <c r="S288" s="1"/>
  <c r="AO160"/>
  <c r="AU76"/>
  <c r="S76" s="1"/>
  <c r="AO74"/>
  <c r="AT28"/>
  <c r="R28" s="1"/>
  <c r="AU28"/>
  <c r="S28" s="1"/>
  <c r="AO170"/>
  <c r="AU244"/>
  <c r="S244" s="1"/>
  <c r="AO234"/>
  <c r="AS86"/>
  <c r="Q86" s="1"/>
  <c r="AO216"/>
  <c r="AU306"/>
  <c r="S306" s="1"/>
  <c r="AT46"/>
  <c r="R46" s="1"/>
  <c r="AO124"/>
  <c r="AT110"/>
  <c r="R110" s="1"/>
  <c r="AO304"/>
  <c r="AS300"/>
  <c r="Q300" s="1"/>
  <c r="AS74"/>
  <c r="Q74" s="1"/>
  <c r="AS232"/>
  <c r="Q232" s="1"/>
  <c r="AS132"/>
  <c r="Q132" s="1"/>
  <c r="AU216"/>
  <c r="S216" s="1"/>
  <c r="AS106"/>
  <c r="Q106" s="1"/>
  <c r="AS146"/>
  <c r="Q146" s="1"/>
  <c r="AS60"/>
  <c r="Q60" s="1"/>
  <c r="AT60"/>
  <c r="R60" s="1"/>
  <c r="AO132"/>
  <c r="AO106"/>
  <c r="AU132"/>
  <c r="S132" s="1"/>
  <c r="AU170"/>
  <c r="S170" s="1"/>
  <c r="AS236"/>
  <c r="Q236" s="1"/>
  <c r="AU304"/>
  <c r="S304" s="1"/>
  <c r="AU60"/>
  <c r="S60" s="1"/>
  <c r="AT232"/>
  <c r="R232" s="1"/>
  <c r="AU232"/>
  <c r="S232" s="1"/>
  <c r="AT234"/>
  <c r="R234" s="1"/>
  <c r="AS230"/>
  <c r="Q230" s="1"/>
  <c r="AT170"/>
  <c r="R170" s="1"/>
  <c r="AT306"/>
  <c r="R306" s="1"/>
  <c r="AS304"/>
  <c r="Q304" s="1"/>
  <c r="AT230"/>
  <c r="R230" s="1"/>
  <c r="AO300"/>
  <c r="AO280"/>
  <c r="AS280"/>
  <c r="Q280" s="1"/>
  <c r="AT280"/>
  <c r="R280" s="1"/>
  <c r="AU280"/>
  <c r="S280" s="1"/>
  <c r="AS32"/>
  <c r="Q32" s="1"/>
  <c r="AU32"/>
  <c r="S32" s="1"/>
  <c r="AT32"/>
  <c r="R32" s="1"/>
  <c r="AS54"/>
  <c r="Q54" s="1"/>
  <c r="AO54"/>
  <c r="AU54"/>
  <c r="S54" s="1"/>
  <c r="AT54"/>
  <c r="R54" s="1"/>
  <c r="AO242"/>
  <c r="AT242"/>
  <c r="R242" s="1"/>
  <c r="AU242"/>
  <c r="S242" s="1"/>
  <c r="AS242"/>
  <c r="Q242" s="1"/>
  <c r="AO130"/>
  <c r="AS130"/>
  <c r="Q130" s="1"/>
  <c r="AT130"/>
  <c r="R130" s="1"/>
  <c r="AU130"/>
  <c r="S130" s="1"/>
  <c r="AS184"/>
  <c r="Q184" s="1"/>
  <c r="AS206"/>
  <c r="Q206" s="1"/>
  <c r="AT98"/>
  <c r="R98" s="1"/>
  <c r="AT116"/>
  <c r="R116" s="1"/>
  <c r="AO98"/>
  <c r="AT96"/>
  <c r="R96" s="1"/>
  <c r="AS116"/>
  <c r="Q116" s="1"/>
  <c r="AO28"/>
  <c r="AO284"/>
  <c r="AT206"/>
  <c r="R206" s="1"/>
  <c r="AO100"/>
  <c r="AS178"/>
  <c r="Q178" s="1"/>
  <c r="AS258"/>
  <c r="Q258" s="1"/>
  <c r="AS98"/>
  <c r="Q98" s="1"/>
  <c r="AO198"/>
  <c r="AT266"/>
  <c r="R266" s="1"/>
  <c r="AT210"/>
  <c r="R210" s="1"/>
  <c r="AO288"/>
  <c r="AO42"/>
  <c r="AS228"/>
  <c r="Q228" s="1"/>
  <c r="AO230"/>
  <c r="AT258"/>
  <c r="R258" s="1"/>
  <c r="AS108"/>
  <c r="Q108" s="1"/>
  <c r="AS96"/>
  <c r="Q96" s="1"/>
  <c r="AT142"/>
  <c r="R142" s="1"/>
  <c r="AS198"/>
  <c r="Q198" s="1"/>
  <c r="AO272"/>
  <c r="AT300"/>
  <c r="R300" s="1"/>
  <c r="AO140"/>
  <c r="AS210"/>
  <c r="Q210" s="1"/>
  <c r="AO184"/>
  <c r="AU298"/>
  <c r="S298" s="1"/>
  <c r="AS298"/>
  <c r="Q298" s="1"/>
  <c r="AT298"/>
  <c r="R298" s="1"/>
  <c r="AO116"/>
  <c r="AS284"/>
  <c r="Q284" s="1"/>
  <c r="AS102"/>
  <c r="Q102" s="1"/>
  <c r="AT102"/>
  <c r="R102" s="1"/>
  <c r="AO102"/>
  <c r="D38" i="2"/>
  <c r="D40" s="1"/>
  <c r="AT184" i="12"/>
  <c r="R184" s="1"/>
  <c r="AU284"/>
  <c r="S284" s="1"/>
  <c r="AO206"/>
  <c r="AT198"/>
  <c r="R198" s="1"/>
  <c r="AM252"/>
  <c r="AO252" s="1"/>
  <c r="AT42"/>
  <c r="R42" s="1"/>
  <c r="AO96"/>
  <c r="AU100"/>
  <c r="S100" s="1"/>
  <c r="AU178"/>
  <c r="S178" s="1"/>
  <c r="AO176"/>
  <c r="AT140"/>
  <c r="R140" s="1"/>
  <c r="L134" i="19"/>
  <c r="R134" s="1"/>
  <c r="AS270" i="12"/>
  <c r="Q270" s="1"/>
  <c r="AT270"/>
  <c r="R270" s="1"/>
  <c r="AO270"/>
  <c r="AU270"/>
  <c r="S270" s="1"/>
  <c r="AS290"/>
  <c r="Q290" s="1"/>
  <c r="AU290"/>
  <c r="S290" s="1"/>
  <c r="AT290"/>
  <c r="R290" s="1"/>
  <c r="AO290"/>
  <c r="AT156"/>
  <c r="R156" s="1"/>
  <c r="AO156"/>
  <c r="AS156"/>
  <c r="Q156" s="1"/>
  <c r="AU156"/>
  <c r="S156" s="1"/>
  <c r="AT38"/>
  <c r="R38" s="1"/>
  <c r="AU38"/>
  <c r="S38" s="1"/>
  <c r="AS38"/>
  <c r="Q38" s="1"/>
  <c r="AO38"/>
  <c r="AT146"/>
  <c r="R146" s="1"/>
  <c r="AU146"/>
  <c r="S146" s="1"/>
  <c r="AS28"/>
  <c r="Q28" s="1"/>
  <c r="AU260"/>
  <c r="S260" s="1"/>
  <c r="AO260"/>
  <c r="AT260"/>
  <c r="R260" s="1"/>
  <c r="AS260"/>
  <c r="Q260" s="1"/>
  <c r="AO286"/>
  <c r="AS286"/>
  <c r="Q286" s="1"/>
  <c r="AU286"/>
  <c r="S286" s="1"/>
  <c r="AT286"/>
  <c r="R286" s="1"/>
  <c r="AS150"/>
  <c r="Q150" s="1"/>
  <c r="AU150"/>
  <c r="S150" s="1"/>
  <c r="AO150"/>
  <c r="AT150"/>
  <c r="R150" s="1"/>
  <c r="AU164"/>
  <c r="S164" s="1"/>
  <c r="AT164"/>
  <c r="R164" s="1"/>
  <c r="AS164"/>
  <c r="Q164" s="1"/>
  <c r="AO164"/>
  <c r="AU36"/>
  <c r="S36" s="1"/>
  <c r="AT202"/>
  <c r="R202" s="1"/>
  <c r="AS202"/>
  <c r="Q202" s="1"/>
  <c r="AO202"/>
  <c r="AU202"/>
  <c r="S202" s="1"/>
  <c r="AU266"/>
  <c r="S266" s="1"/>
  <c r="AS224"/>
  <c r="Q224" s="1"/>
  <c r="AT176"/>
  <c r="R176" s="1"/>
  <c r="AS266"/>
  <c r="Q266" s="1"/>
  <c r="AS288"/>
  <c r="Q288" s="1"/>
  <c r="AT228"/>
  <c r="R228" s="1"/>
  <c r="AU224"/>
  <c r="S224" s="1"/>
  <c r="AU176"/>
  <c r="S176" s="1"/>
  <c r="AO32"/>
  <c r="AU264"/>
  <c r="S264" s="1"/>
  <c r="AS264"/>
  <c r="Q264" s="1"/>
  <c r="AT264"/>
  <c r="R264" s="1"/>
  <c r="AO264"/>
  <c r="AO134"/>
  <c r="AU252"/>
  <c r="S252" s="1"/>
  <c r="AT108"/>
  <c r="R108" s="1"/>
  <c r="AU66"/>
  <c r="S66" s="1"/>
  <c r="AU292"/>
  <c r="S292" s="1"/>
  <c r="AU94"/>
  <c r="S94" s="1"/>
  <c r="AT100"/>
  <c r="R100" s="1"/>
  <c r="AO178"/>
  <c r="AO108"/>
  <c r="AS122"/>
  <c r="Q122" s="1"/>
  <c r="AT66"/>
  <c r="R66" s="1"/>
  <c r="AS292"/>
  <c r="Q292" s="1"/>
  <c r="AS140"/>
  <c r="Q140" s="1"/>
  <c r="AT94"/>
  <c r="R94" s="1"/>
  <c r="AO148"/>
  <c r="AU30"/>
  <c r="S30" s="1"/>
  <c r="AS30"/>
  <c r="Q30" s="1"/>
  <c r="AO30"/>
  <c r="AT30"/>
  <c r="R30" s="1"/>
  <c r="AU112"/>
  <c r="S112" s="1"/>
  <c r="AO112"/>
  <c r="AT112"/>
  <c r="R112" s="1"/>
  <c r="AS112"/>
  <c r="Q112" s="1"/>
  <c r="AO66"/>
  <c r="AT292"/>
  <c r="R292" s="1"/>
  <c r="AO94"/>
  <c r="AU122"/>
  <c r="S122" s="1"/>
  <c r="AS68"/>
  <c r="Q68" s="1"/>
  <c r="AO68"/>
  <c r="AU68"/>
  <c r="S68" s="1"/>
  <c r="AT68"/>
  <c r="R68" s="1"/>
  <c r="AT24"/>
  <c r="R24" s="1"/>
  <c r="AS24"/>
  <c r="Q24" s="1"/>
  <c r="AU24"/>
  <c r="S24" s="1"/>
  <c r="AO24"/>
  <c r="AT180"/>
  <c r="R180" s="1"/>
  <c r="AS180"/>
  <c r="Q180" s="1"/>
  <c r="AU180"/>
  <c r="S180" s="1"/>
  <c r="AO180"/>
  <c r="AS82"/>
  <c r="Q82" s="1"/>
  <c r="AU82"/>
  <c r="S82" s="1"/>
  <c r="AT82"/>
  <c r="R82" s="1"/>
  <c r="AO82"/>
  <c r="AU308"/>
  <c r="S308" s="1"/>
  <c r="AO308"/>
  <c r="AS308"/>
  <c r="Q308" s="1"/>
  <c r="AT308"/>
  <c r="R308" s="1"/>
  <c r="AS268"/>
  <c r="Q268" s="1"/>
  <c r="AU268"/>
  <c r="S268" s="1"/>
  <c r="AO268"/>
  <c r="AT268"/>
  <c r="R268" s="1"/>
  <c r="AU240"/>
  <c r="S240" s="1"/>
  <c r="AO240"/>
  <c r="AS240"/>
  <c r="Q240" s="1"/>
  <c r="AT240"/>
  <c r="R240" s="1"/>
  <c r="AT44"/>
  <c r="R44" s="1"/>
  <c r="AS44"/>
  <c r="Q44" s="1"/>
  <c r="AU44"/>
  <c r="S44" s="1"/>
  <c r="AO44"/>
  <c r="Q22"/>
  <c r="S22"/>
  <c r="AS26"/>
  <c r="Q26" s="1"/>
  <c r="AT26"/>
  <c r="R26" s="1"/>
  <c r="AU26"/>
  <c r="S26" s="1"/>
  <c r="AO26"/>
  <c r="AO114"/>
  <c r="AS114"/>
  <c r="Q114" s="1"/>
  <c r="AU114"/>
  <c r="S114" s="1"/>
  <c r="AT114"/>
  <c r="R114" s="1"/>
  <c r="AS204"/>
  <c r="Q204" s="1"/>
  <c r="AT204"/>
  <c r="R204" s="1"/>
  <c r="AO204"/>
  <c r="AU204"/>
  <c r="S204" s="1"/>
  <c r="R22"/>
  <c r="AU84"/>
  <c r="S84" s="1"/>
  <c r="AT84"/>
  <c r="R84" s="1"/>
  <c r="AS84"/>
  <c r="Q84" s="1"/>
  <c r="AO84"/>
  <c r="AO208"/>
  <c r="AT208"/>
  <c r="R208" s="1"/>
  <c r="AU208"/>
  <c r="S208" s="1"/>
  <c r="AS208"/>
  <c r="Q208" s="1"/>
  <c r="AU134" l="1"/>
  <c r="S134" s="1"/>
  <c r="AT148"/>
  <c r="R148" s="1"/>
  <c r="AT134"/>
  <c r="R134" s="1"/>
  <c r="AU148"/>
  <c r="S148" s="1"/>
  <c r="AS36"/>
  <c r="Q36" s="1"/>
  <c r="AO36"/>
  <c r="AS252"/>
  <c r="Q252" s="1"/>
  <c r="AT252"/>
  <c r="R252" s="1"/>
  <c r="R10"/>
  <c r="R11" s="1"/>
  <c r="Q10"/>
  <c r="Q11" s="1"/>
  <c r="S10"/>
  <c r="S11" s="1"/>
</calcChain>
</file>

<file path=xl/sharedStrings.xml><?xml version="1.0" encoding="utf-8"?>
<sst xmlns="http://schemas.openxmlformats.org/spreadsheetml/2006/main" count="3018" uniqueCount="769">
  <si>
    <t>Dato</t>
  </si>
  <si>
    <t>Trin:</t>
  </si>
  <si>
    <t>Trin</t>
  </si>
  <si>
    <t>Nettoløn</t>
  </si>
  <si>
    <t>Grundløn</t>
  </si>
  <si>
    <t>Tillæg</t>
  </si>
  <si>
    <t>Udligningstillæg</t>
  </si>
  <si>
    <t xml:space="preserve"> </t>
  </si>
  <si>
    <t>Underskrift:</t>
  </si>
  <si>
    <t>Dato:</t>
  </si>
  <si>
    <t>Ishøj Kommune</t>
  </si>
  <si>
    <t>Navn:</t>
  </si>
  <si>
    <t>Overenskomst/aftale</t>
  </si>
  <si>
    <t>Faste tillæg/fradrag</t>
  </si>
  <si>
    <t>Det skal indgå i overvejelserne, at det ikke er hensigten at yde dobbeltbetaling for samme funktioner/kvalifikationer.</t>
  </si>
  <si>
    <t>For organisationen:</t>
  </si>
  <si>
    <t>For medarbejderen:</t>
  </si>
  <si>
    <t>For kommunen:</t>
  </si>
  <si>
    <t>Fra og til</t>
  </si>
  <si>
    <t>Løntrin</t>
  </si>
  <si>
    <t>Tillæg pr. år</t>
  </si>
  <si>
    <t>Løn</t>
  </si>
  <si>
    <t>Pension</t>
  </si>
  <si>
    <t>pr. måned</t>
  </si>
  <si>
    <t>Fra løntrin</t>
  </si>
  <si>
    <t>Til løntrin</t>
  </si>
  <si>
    <t>Forskel løntrin</t>
  </si>
  <si>
    <t>Tillæg fra</t>
  </si>
  <si>
    <t>Tillæg til</t>
  </si>
  <si>
    <t>Forskel tillæg</t>
  </si>
  <si>
    <t>Udgiftsberegning</t>
  </si>
  <si>
    <t>Månedslønnede</t>
  </si>
  <si>
    <t>Timelønnede</t>
  </si>
  <si>
    <t xml:space="preserve"> =</t>
  </si>
  <si>
    <t>Evt. modregning</t>
  </si>
  <si>
    <t>(Husk fortegn)</t>
  </si>
  <si>
    <t>Evt. andre udgifter</t>
  </si>
  <si>
    <t>I alt pr. måned</t>
  </si>
  <si>
    <t>Helårsvirkning</t>
  </si>
  <si>
    <t>Beløb inkl. 3 dele pension årlig</t>
  </si>
  <si>
    <t>Overenskomst for kommunallæger</t>
  </si>
  <si>
    <t>Overenskomst vedr. journalister</t>
  </si>
  <si>
    <t>Overenskomst for håndværkere m.fl.</t>
  </si>
  <si>
    <t>Overenskomst vedr. diverse formænd</t>
  </si>
  <si>
    <t>Overenskomst for ikke fagl. lønarbejdere</t>
  </si>
  <si>
    <t>Overenskomst for kantine-&amp; reng.ledere</t>
  </si>
  <si>
    <t>Overenskomst vedr. tandlæger</t>
  </si>
  <si>
    <t>Aftale vedr. tandlæger</t>
  </si>
  <si>
    <t>Reglementsaftale vedr. daginst.personale</t>
  </si>
  <si>
    <t>Overenskomst for socialpædagoger mv.</t>
  </si>
  <si>
    <t>Aftale for socialpædagoger mv.</t>
  </si>
  <si>
    <t>Overenskomst vedr. dagplejeledere m.fl.</t>
  </si>
  <si>
    <t>Overenskomst vedr. pædagog. konsulenter</t>
  </si>
  <si>
    <t>Overenskomst vedr. dagplejere</t>
  </si>
  <si>
    <t>Fælles overenskomst for ledere</t>
  </si>
  <si>
    <t>Overensk.vedr.social- og sundhedshj. m.f</t>
  </si>
  <si>
    <t>Beskæftigelsesgrad</t>
  </si>
  <si>
    <t>Løn før</t>
  </si>
  <si>
    <t>Løn nu</t>
  </si>
  <si>
    <t xml:space="preserve">                Puljebelastning</t>
  </si>
  <si>
    <t>1/1-31/12</t>
  </si>
  <si>
    <t>Til rådighed resten af året</t>
  </si>
  <si>
    <t>Antal</t>
  </si>
  <si>
    <t>Engangs-</t>
  </si>
  <si>
    <t>Virkning</t>
  </si>
  <si>
    <t>Fratrådt</t>
  </si>
  <si>
    <t>Navn</t>
  </si>
  <si>
    <t>timer</t>
  </si>
  <si>
    <t>fuldtids-</t>
  </si>
  <si>
    <t>løn</t>
  </si>
  <si>
    <t>kr. pr.</t>
  </si>
  <si>
    <t>tillæg</t>
  </si>
  <si>
    <t>Tiltrådt</t>
  </si>
  <si>
    <t>pr. uge</t>
  </si>
  <si>
    <t>norm-</t>
  </si>
  <si>
    <t>kr.</t>
  </si>
  <si>
    <t>måneder</t>
  </si>
  <si>
    <t>Årlig</t>
  </si>
  <si>
    <t>Ny løn</t>
  </si>
  <si>
    <t>pulje</t>
  </si>
  <si>
    <t>belastning</t>
  </si>
  <si>
    <t>Begrundelse for ydelse af funktionsløn og kvalifikationsløn:</t>
  </si>
  <si>
    <t>Tekst:</t>
  </si>
  <si>
    <t>Funktionsløn obligatorisk:</t>
  </si>
  <si>
    <t>Funktionsløn individuelt:</t>
  </si>
  <si>
    <t>Kvalifikationsløn obligatorisk:</t>
  </si>
  <si>
    <t>Kvalifikationsløn individuelt:</t>
  </si>
  <si>
    <t>Ialt</t>
  </si>
  <si>
    <t>Cpr. nr.</t>
  </si>
  <si>
    <t>Stilling</t>
  </si>
  <si>
    <t>Antal timer pr. uge</t>
  </si>
  <si>
    <t>Antal fuldtidsnormtimer</t>
  </si>
  <si>
    <t>Lønkontonummer</t>
  </si>
  <si>
    <t>Fratrædelsesdato</t>
  </si>
  <si>
    <t>Fratrådtes navn</t>
  </si>
  <si>
    <t>Tiltrædelsesdato</t>
  </si>
  <si>
    <t>Antal timer pr. uge/år</t>
  </si>
  <si>
    <t>Antal fuldtidsnormtimer pr. uge/år</t>
  </si>
  <si>
    <t>Antal timer pr. uge/år:</t>
  </si>
  <si>
    <t>Antal fuldtidsnormtimer pr. uge/år:</t>
  </si>
  <si>
    <t>AC1-8</t>
  </si>
  <si>
    <t>Standard</t>
  </si>
  <si>
    <t>Lønkode</t>
  </si>
  <si>
    <t>Startkolonne</t>
  </si>
  <si>
    <r>
      <t xml:space="preserve">Indtast oplysninger i de </t>
    </r>
    <r>
      <rPr>
        <b/>
        <sz val="10"/>
        <color indexed="9"/>
        <rFont val="Times New Roman"/>
        <family val="1"/>
      </rPr>
      <t>hvide</t>
    </r>
    <r>
      <rPr>
        <b/>
        <sz val="10"/>
        <rFont val="Times New Roman"/>
        <family val="1"/>
      </rPr>
      <t xml:space="preserve"> felter</t>
    </r>
  </si>
  <si>
    <t>Lønkode:</t>
  </si>
  <si>
    <t>TabelÆndringskode</t>
  </si>
  <si>
    <t>Løn-</t>
  </si>
  <si>
    <t>kode</t>
  </si>
  <si>
    <t xml:space="preserve"> 1=Fratrådt</t>
  </si>
  <si>
    <t xml:space="preserve"> 2=Tiltrådt</t>
  </si>
  <si>
    <t>0=Standard</t>
  </si>
  <si>
    <t>1=AC1-8</t>
  </si>
  <si>
    <t>2=AC1-17</t>
  </si>
  <si>
    <t xml:space="preserve"> Ændrings-</t>
  </si>
  <si>
    <t xml:space="preserve"> kode</t>
  </si>
  <si>
    <t>/år</t>
  </si>
  <si>
    <t>Pen-</t>
  </si>
  <si>
    <t>sions-</t>
  </si>
  <si>
    <t>pct.</t>
  </si>
  <si>
    <t>MaxPenskode</t>
  </si>
  <si>
    <t>Over-</t>
  </si>
  <si>
    <t>gang</t>
  </si>
  <si>
    <t>trin</t>
  </si>
  <si>
    <t>Puljebelastning</t>
  </si>
  <si>
    <t>Måned</t>
  </si>
  <si>
    <t>Fast Tillæg</t>
  </si>
  <si>
    <t>Startkolonner:</t>
  </si>
  <si>
    <t>Ændringskode</t>
  </si>
  <si>
    <t>PensionJN</t>
  </si>
  <si>
    <t>Tekst</t>
  </si>
  <si>
    <t>Overgang</t>
  </si>
  <si>
    <t>I alt</t>
  </si>
  <si>
    <t>År</t>
  </si>
  <si>
    <t>Heraf</t>
  </si>
  <si>
    <t>overgang</t>
  </si>
  <si>
    <t>Fra/Til</t>
  </si>
  <si>
    <t>JNovergang</t>
  </si>
  <si>
    <t>OvergangJN</t>
  </si>
  <si>
    <t>Netto</t>
  </si>
  <si>
    <t>ekskl.</t>
  </si>
  <si>
    <t>engangstill</t>
  </si>
  <si>
    <t>JNferiepenge</t>
  </si>
  <si>
    <t>Feriepenge</t>
  </si>
  <si>
    <t>procent</t>
  </si>
  <si>
    <t>Funktionsløn</t>
  </si>
  <si>
    <t>Kvalifikationsløn</t>
  </si>
  <si>
    <t xml:space="preserve"> 3=Løn før</t>
  </si>
  <si>
    <t xml:space="preserve"> 4=Løn nu</t>
  </si>
  <si>
    <t>Lønninger og pensioner pr.</t>
  </si>
  <si>
    <t>Netto-</t>
  </si>
  <si>
    <t>Driftskonto</t>
  </si>
  <si>
    <t>Adresse</t>
  </si>
  <si>
    <t>Postnr.     By</t>
  </si>
  <si>
    <r>
      <t>Lønreduktion som følge af eventuelt kommende lønstigninger</t>
    </r>
    <r>
      <rPr>
        <sz val="10"/>
        <rFont val="Times New Roman"/>
        <family val="1"/>
      </rPr>
      <t>. Funktionslønnen og kvalifikationslønnen reduceres som følge</t>
    </r>
  </si>
  <si>
    <t>af eventuelle fremtidige lønstigninger der dækker samme kvalifikationer, som aftalt centralt eller decentralt i en forhåndsaftale.</t>
  </si>
  <si>
    <t>NyLøn</t>
  </si>
  <si>
    <t>TabelLøntabel til Udgiftsberegning og NyLøn</t>
  </si>
  <si>
    <t>Udskriv</t>
  </si>
  <si>
    <t>linie</t>
  </si>
  <si>
    <t>4a</t>
  </si>
  <si>
    <t>4b</t>
  </si>
  <si>
    <t>Årligt</t>
  </si>
  <si>
    <t>kr. beløb</t>
  </si>
  <si>
    <t>årligt</t>
  </si>
  <si>
    <t>kr.beløb</t>
  </si>
  <si>
    <t>OrlovJN</t>
  </si>
  <si>
    <t>Forbrugt ved Ny Løn</t>
  </si>
  <si>
    <t>Overgangstillæg/trin</t>
  </si>
  <si>
    <t>MaxProcentForvPulje</t>
  </si>
  <si>
    <t>Procent</t>
  </si>
  <si>
    <t>Ændringsdato:</t>
  </si>
  <si>
    <t>Udgiftsberegning:</t>
  </si>
  <si>
    <t>Rammebeløb til Ny Løn i alt</t>
  </si>
  <si>
    <t>Lønkontonr.</t>
  </si>
  <si>
    <t>Orlov</t>
  </si>
  <si>
    <t>C</t>
  </si>
  <si>
    <t>D</t>
  </si>
  <si>
    <t>A</t>
  </si>
  <si>
    <t>B</t>
  </si>
  <si>
    <t>E</t>
  </si>
  <si>
    <t>F</t>
  </si>
  <si>
    <t>G</t>
  </si>
  <si>
    <t>H</t>
  </si>
  <si>
    <t>I</t>
  </si>
  <si>
    <t>J</t>
  </si>
  <si>
    <t>L</t>
  </si>
  <si>
    <t>N</t>
  </si>
  <si>
    <t>O</t>
  </si>
  <si>
    <t>P</t>
  </si>
  <si>
    <t>Q</t>
  </si>
  <si>
    <t>R</t>
  </si>
  <si>
    <t>S</t>
  </si>
  <si>
    <t>K</t>
  </si>
  <si>
    <t>M</t>
  </si>
  <si>
    <t>På orlov</t>
  </si>
  <si>
    <t xml:space="preserve"> 5=På orlov</t>
  </si>
  <si>
    <t>HK</t>
  </si>
  <si>
    <t>AC</t>
  </si>
  <si>
    <t>Bibliotekarforbundet</t>
  </si>
  <si>
    <t>Foreningen af spec. læger</t>
  </si>
  <si>
    <t>TL</t>
  </si>
  <si>
    <t>Dansk Journalistforbund</t>
  </si>
  <si>
    <t>Dansk Metal/Dansk El Forbund</t>
  </si>
  <si>
    <t>Dansk Formandsforening</t>
  </si>
  <si>
    <t>FOA</t>
  </si>
  <si>
    <t>Halinspektørforeningen</t>
  </si>
  <si>
    <t>DLF</t>
  </si>
  <si>
    <t>LVU</t>
  </si>
  <si>
    <t>BUPL</t>
  </si>
  <si>
    <t>SL</t>
  </si>
  <si>
    <t>LSF</t>
  </si>
  <si>
    <t>år</t>
  </si>
  <si>
    <t>Bemærkninger</t>
  </si>
  <si>
    <t>niveau *</t>
  </si>
  <si>
    <t>Tilbageføringen sker sådan:</t>
  </si>
  <si>
    <t>Afrundet til hele kr.</t>
  </si>
  <si>
    <t>Eksempel</t>
  </si>
  <si>
    <t>Din beregning</t>
  </si>
  <si>
    <t>Opgørelse af tillæg (husk at vælge pensionsordning i række 17):</t>
  </si>
  <si>
    <t>Historiske procentreguleringer:</t>
  </si>
  <si>
    <t>LSF (FOA)</t>
  </si>
  <si>
    <t>Pens.giv.</t>
  </si>
  <si>
    <t>løndele</t>
  </si>
  <si>
    <t>Socialrådgiverforeningen</t>
  </si>
  <si>
    <t>Lærere m.fl. i folkeskolen</t>
  </si>
  <si>
    <t>Aftale om tjenestemandsansatte lærere</t>
  </si>
  <si>
    <t>Grafisk beskæftiget personale</t>
  </si>
  <si>
    <t>HK/industri</t>
  </si>
  <si>
    <t>Ledere/mellemledere i kommunal ældreomsorg</t>
  </si>
  <si>
    <t>FOA/Lederforum</t>
  </si>
  <si>
    <t>Rådighedsbeløb overført fra tidligere år indtastes her</t>
  </si>
  <si>
    <t>Forbrug til ny medarbejder:</t>
  </si>
  <si>
    <t>Driftssted</t>
  </si>
  <si>
    <t>Månedsløn</t>
  </si>
  <si>
    <t>Årsløn</t>
  </si>
  <si>
    <t>Tillæg i alt</t>
  </si>
  <si>
    <t>I alt til besættelse af ny stilling:</t>
  </si>
  <si>
    <t>Løn og tillæg inkl. 3/3 pension</t>
  </si>
  <si>
    <t>3/3 pension af løn og tillæg</t>
  </si>
  <si>
    <t>Forskel mellem fratrådt/tiltrådt:</t>
  </si>
  <si>
    <t>17. Underskrift</t>
  </si>
  <si>
    <t>Udfyldt af:</t>
  </si>
  <si>
    <t>Afgang</t>
  </si>
  <si>
    <t>Tilgang</t>
  </si>
  <si>
    <t>Pens.kode</t>
  </si>
  <si>
    <t>I alt løn og tillæg inkl. 3/3 pension</t>
  </si>
  <si>
    <t>Driftssted:</t>
  </si>
  <si>
    <t>Driftsstedets lønpuljekontonr.:</t>
  </si>
  <si>
    <t>I alt løn og tillæg</t>
  </si>
  <si>
    <t>Tillæg ikke pensionsgivende</t>
  </si>
  <si>
    <t>Centralt aftalte trin pensionsgivende</t>
  </si>
  <si>
    <t>Centralt aftalte tillæg pensionsgivende</t>
  </si>
  <si>
    <t>Individuelt aftalte trin pensionsgivende</t>
  </si>
  <si>
    <t>Individuelt aftalte tillæg pensionsgivende</t>
  </si>
  <si>
    <t>Tillæg pensionsgivende</t>
  </si>
  <si>
    <t>Overgangstillæg ikke pensionsgivende</t>
  </si>
  <si>
    <t>TabelRammeforbrug</t>
  </si>
  <si>
    <t>Ramme-</t>
  </si>
  <si>
    <t>forbrug</t>
  </si>
  <si>
    <t>DSR/Økonomaf./Ergoterap.</t>
  </si>
  <si>
    <t>Timeløn</t>
  </si>
  <si>
    <t>Afgang/Tilgang/Timeløn</t>
  </si>
  <si>
    <t>Tilgang / Afgang for timelønnede</t>
  </si>
  <si>
    <t>18. Underskrift</t>
  </si>
  <si>
    <t>TabelPensgivLøn</t>
  </si>
  <si>
    <t>%</t>
  </si>
  <si>
    <t>Pensionsprocent:</t>
  </si>
  <si>
    <t>Startkolonner for månedsløn</t>
  </si>
  <si>
    <t>Puljebelastning antal måneder</t>
  </si>
  <si>
    <t>Pensionsprocent</t>
  </si>
  <si>
    <t>TabelPctReg</t>
  </si>
  <si>
    <t>Procentregulering</t>
  </si>
  <si>
    <t>Procentregul:</t>
  </si>
  <si>
    <t>Lønkode 3</t>
  </si>
  <si>
    <t>SundAlm</t>
  </si>
  <si>
    <t>Lønkode 4</t>
  </si>
  <si>
    <t>SundLeder</t>
  </si>
  <si>
    <t>Sundhedskartel:</t>
  </si>
  <si>
    <t>Niveau</t>
  </si>
  <si>
    <t>Procent-</t>
  </si>
  <si>
    <t>regulering</t>
  </si>
  <si>
    <t>Niveaudato:</t>
  </si>
  <si>
    <t>3=SundAlm</t>
  </si>
  <si>
    <t>4=SundLeder</t>
  </si>
  <si>
    <t>Basisår</t>
  </si>
  <si>
    <t>Tilført/forbrugt ved afgang/tilgang</t>
  </si>
  <si>
    <t>Overenskomst for tekniske designere m.fl</t>
  </si>
  <si>
    <t>5=Kostfaglig</t>
  </si>
  <si>
    <t>KTO</t>
  </si>
  <si>
    <t>Sundhed</t>
  </si>
  <si>
    <t>Divider med procentreguleringen</t>
  </si>
  <si>
    <t>Tillæg.</t>
  </si>
  <si>
    <t>Alle tillæg skal være årlige i grundsatsniveau.</t>
  </si>
  <si>
    <t>Grundsatsniveau for Sundhedskartellet er 1/1-2006.</t>
  </si>
  <si>
    <t>Årligt tillæg i grundsatsniveau</t>
  </si>
  <si>
    <t>For alle øvrige er grundsatsniveauet 31/3-2000.</t>
  </si>
  <si>
    <t>18. Originalen fremsendes til Personale og Udvikling:</t>
  </si>
  <si>
    <t>3F/FOA/SL</t>
  </si>
  <si>
    <t xml:space="preserve">0=Standard  1=AC(1-8)  2=AC(1-17) </t>
  </si>
  <si>
    <t>3=SundA  4=SundLeder  5= Kostfaglig</t>
  </si>
  <si>
    <t>Beredskabspersonale ved de kommunale redningsselskaber</t>
  </si>
  <si>
    <t>Overenskomst for pædagogisk uddannet personale, der ansættes inden for det forebyggende og dagbehandlende område</t>
  </si>
  <si>
    <t>Handicapledsagere</t>
  </si>
  <si>
    <t>Grundløn 42+3.900 / 46+12.700 / 47+7.700</t>
  </si>
  <si>
    <t>BUPL-Ledere</t>
  </si>
  <si>
    <t>BUPL-Souschefer</t>
  </si>
  <si>
    <t>Forhandlingskartellets Fællesoverenskomst</t>
  </si>
  <si>
    <t>Overenskomst for socialrådgivere og socialformidlere</t>
  </si>
  <si>
    <t xml:space="preserve">Rengøringsassistent </t>
  </si>
  <si>
    <t>Kantineledere</t>
  </si>
  <si>
    <t>Ledere</t>
  </si>
  <si>
    <t>Grundløn 36+3.000</t>
  </si>
  <si>
    <t>Dagplejere</t>
  </si>
  <si>
    <t>Grundløn 30+4.000</t>
  </si>
  <si>
    <t>LSF-Ledere over trin 37</t>
  </si>
  <si>
    <t>Social- og sundhedshjælper</t>
  </si>
  <si>
    <t>Aflønnes i Ishøj Kommune som Susu uden uddannelse</t>
  </si>
  <si>
    <t>FOA/Dansk Metal</t>
  </si>
  <si>
    <t>Overenskomst for ledende værkstedspersonale m.v. ved klientværksteder</t>
  </si>
  <si>
    <t>19. Originalen fremsendes til Personale og Udvikling</t>
  </si>
  <si>
    <t>Feriegodtg. (1,95%)</t>
  </si>
  <si>
    <t>Heraf 1,95% feriegodtgørelse:</t>
  </si>
  <si>
    <t xml:space="preserve">0=Standard. 1=AC skala1-8. 2=AC skala 1-17 </t>
  </si>
  <si>
    <t>3=Sund Alm. 4=Sund Leder. 5= Kostfaglig</t>
  </si>
  <si>
    <t>Rammebeløb til Ny Løn indeværende år indtastes her</t>
  </si>
  <si>
    <t>Omsorgs- og pædagogmedhjælpere uden PAU</t>
  </si>
  <si>
    <t>Omsorgs- og pædagogmedhjælpere med/uden PAU</t>
  </si>
  <si>
    <t>Overenskomst for ledere m.fl. indenfor undervisningsområdet</t>
  </si>
  <si>
    <t>Fritvalgstillæg kan ændres til +1,05% pension (13,65%)</t>
  </si>
  <si>
    <t>Ernæringshjælpere</t>
  </si>
  <si>
    <t>L5/L6</t>
  </si>
  <si>
    <t>Fritvalgstillæg kan ændres til +0,34%% pension (13,62%)</t>
  </si>
  <si>
    <t>Trin 33+5.000</t>
  </si>
  <si>
    <t>Ingen Fritvalgsordning</t>
  </si>
  <si>
    <t>TNL</t>
  </si>
  <si>
    <t>Socialpædagoger</t>
  </si>
  <si>
    <t>Trin 30</t>
  </si>
  <si>
    <t>Trin 27+1.025</t>
  </si>
  <si>
    <t>Trin 15+750</t>
  </si>
  <si>
    <t>Uændret</t>
  </si>
  <si>
    <t>plus 0,2%</t>
  </si>
  <si>
    <t>plus 0,27%</t>
  </si>
  <si>
    <t>plus 0,37%</t>
  </si>
  <si>
    <t>Forskellige</t>
  </si>
  <si>
    <t>plus 0,32%</t>
  </si>
  <si>
    <t>ingen</t>
  </si>
  <si>
    <t>Trin 31 -&gt; Trin 31+.2.000</t>
  </si>
  <si>
    <t>Trin 31+2.000</t>
  </si>
  <si>
    <t>AC skala</t>
  </si>
  <si>
    <t>1,1% pens kan veksles til løn (Fritvalgtillæg), så pens kun bliver 16,4%</t>
  </si>
  <si>
    <t>Håndværkere</t>
  </si>
  <si>
    <t>Trin 26+1750</t>
  </si>
  <si>
    <t>Grundlønstillæg 1500 (31.03.2000) stiger til 1.750 (31.03.2000)</t>
  </si>
  <si>
    <t>plus 0,25%</t>
  </si>
  <si>
    <t>0,46% pens kan veksles til løn (Fritvalgtillæg), så pens kun bliver 15,79%</t>
  </si>
  <si>
    <t>01.01.2012</t>
  </si>
  <si>
    <t>plus 0,3%</t>
  </si>
  <si>
    <t>plus 0,35%</t>
  </si>
  <si>
    <t>Reglementsansat pædagog</t>
  </si>
  <si>
    <t>Tjenestemandsansat socialpædagog</t>
  </si>
  <si>
    <t>plus 0,05%</t>
  </si>
  <si>
    <t>pension</t>
  </si>
  <si>
    <t>Forskellige-Se Overenskomst</t>
  </si>
  <si>
    <t>Kun for tekn design med særl fagl ansv eller ledelse</t>
  </si>
  <si>
    <t>0,36% pens kan veksles til løn (Fritvalgtillæg), så pens kun bliver 15,79%</t>
  </si>
  <si>
    <t>Mindre stigninger</t>
  </si>
  <si>
    <t>plus 0,9%</t>
  </si>
  <si>
    <t>Trin 28+2950</t>
  </si>
  <si>
    <t>Grundløntillæg steget fra 2.000 til 2.950</t>
  </si>
  <si>
    <t>Trin 47+6000</t>
  </si>
  <si>
    <t>0,58% pens kan veksles til løn (Fritvalgtillæg), så pens kun bliver 15,79%</t>
  </si>
  <si>
    <t>Trin 14</t>
  </si>
  <si>
    <t>Hidtidige rekruteringstillæg på 3600 bortfaldet - Veklset til 1 trin. Lukket gruppe med +1.000 kr indført</t>
  </si>
  <si>
    <t>Forhåndsaftale</t>
  </si>
  <si>
    <t>1,3% pens kan veksles til løn (Fritvalgtillæg), så pens kun bliver 15,00%</t>
  </si>
  <si>
    <t>3,52%% pens kan veksles til løn (Fritvalgtillæg), så pens kun bliver 15,00%</t>
  </si>
  <si>
    <t>Trin 18</t>
  </si>
  <si>
    <t>1,1% pens kan veksles til løn (Fritvalgtillæg), så pens kun bliver 12,9%</t>
  </si>
  <si>
    <t>2,6%% pens kan veksles til løn (Fritvalgtillæg), så pens kun bliver 15,10%</t>
  </si>
  <si>
    <t>01.04.2013</t>
  </si>
  <si>
    <t>01.10.2012</t>
  </si>
  <si>
    <t>0=Standard. 1=AC skala</t>
  </si>
  <si>
    <t>3=Sund Alm. 4=Sund Leder</t>
  </si>
  <si>
    <t>Direktionscenter - HR</t>
  </si>
  <si>
    <t>Lønaftale for nyansat medarbejder</t>
  </si>
  <si>
    <t>Fratrådt medarbejder / Råderum</t>
  </si>
  <si>
    <t>Reguleringsprocent</t>
  </si>
  <si>
    <t/>
  </si>
  <si>
    <t xml:space="preserve">  %</t>
  </si>
  <si>
    <t>Grundløns tillæg</t>
  </si>
  <si>
    <t>Grundløns trin</t>
  </si>
  <si>
    <t>Ikke-pensionsgivende funktionstillæg</t>
  </si>
  <si>
    <t>Funktionstrin (lokalt aftalt)</t>
  </si>
  <si>
    <t>Funktionstillæg (pens), (lokalt aftalt)</t>
  </si>
  <si>
    <t>Centralt aftalte funktionstrin</t>
  </si>
  <si>
    <t>Centralt aftalte funktionstillæg (pens)</t>
  </si>
  <si>
    <t>Centralt aftalte kvalifikationstrin</t>
  </si>
  <si>
    <t>Centralt aftalte kval.tillæg (pens)</t>
  </si>
  <si>
    <t>niveau</t>
  </si>
  <si>
    <t>Procentregulering:</t>
  </si>
  <si>
    <t>Kvalifikationstrin (lokalt aftalt)</t>
  </si>
  <si>
    <t>Kvalifikationstillæg (pens) (lokalt aftalt)</t>
  </si>
  <si>
    <t>Konverteret ulempetillæg (ikke-pens)</t>
  </si>
  <si>
    <t>Overgangstillæg (pensionsgivende)</t>
  </si>
  <si>
    <t>Overgangstillæg (ikke-pens)ionsgivende</t>
  </si>
  <si>
    <t>Udligningstillæg (pensionsgivende)</t>
  </si>
  <si>
    <t>Samlet løn og pension</t>
  </si>
  <si>
    <t>Overenskomstnr:</t>
  </si>
  <si>
    <t>Fremtidigt antal timer pr. uge</t>
  </si>
  <si>
    <t>Fuldtidstimetal:</t>
  </si>
  <si>
    <r>
      <t xml:space="preserve">Samlet løn </t>
    </r>
    <r>
      <rPr>
        <sz val="10"/>
        <rFont val="Arial Narrow"/>
        <family val="2"/>
      </rPr>
      <t>(uden pension)</t>
    </r>
  </si>
  <si>
    <t>+</t>
  </si>
  <si>
    <t>Beskrivelse af ændringen af lønnen.</t>
  </si>
  <si>
    <t>01.10.2013</t>
  </si>
  <si>
    <t>Grundlønnen aftales individuelt, kan dog højest udgøre trin 50</t>
  </si>
  <si>
    <t>Overenskomst for akademikere.</t>
  </si>
  <si>
    <t>Aftale/overenskomst for chefer</t>
  </si>
  <si>
    <t>Grundlønnen aftales individuelt</t>
  </si>
  <si>
    <t>Akademikere indplaceres på AC-skalen på baggrund af antal års akademisk beskæftigelse efter uddannelsens afslutning</t>
  </si>
  <si>
    <t>Overenskomstansatte og tjenestemandsansatte chefer</t>
  </si>
  <si>
    <t>Kommunale chefer (KC)</t>
  </si>
  <si>
    <t>Funktionstillæg</t>
  </si>
  <si>
    <t>Ændring af timetal</t>
  </si>
  <si>
    <t>Ændring af medarbejders løn / timetal</t>
  </si>
  <si>
    <t>Beskrivelse af fremtidige løntillæg</t>
  </si>
  <si>
    <t>Beskrivelse af nuværende løntillæg</t>
  </si>
  <si>
    <t xml:space="preserve">Lønnen ændres med </t>
  </si>
  <si>
    <t xml:space="preserve">Pensionen ændres med </t>
  </si>
  <si>
    <t>Samlede merudgifter</t>
  </si>
  <si>
    <t>kr. pr. måned</t>
  </si>
  <si>
    <t>kr. pr. år</t>
  </si>
  <si>
    <t>Konsekvenser af ændringen</t>
  </si>
  <si>
    <t>Nyansættelse af medarbejder</t>
  </si>
  <si>
    <t>Ansættes pr.</t>
  </si>
  <si>
    <t>Fastansættelse</t>
  </si>
  <si>
    <t>Begivenhedsansættelse</t>
  </si>
  <si>
    <t xml:space="preserve">Lønnen øges med </t>
  </si>
  <si>
    <t xml:space="preserve">Pensionen øges med </t>
  </si>
  <si>
    <t>Nuværende antal timer pr. uge</t>
  </si>
  <si>
    <t>Vejledning</t>
  </si>
  <si>
    <t>Overenskomstens navn:</t>
  </si>
  <si>
    <t>Dækningsområde:</t>
  </si>
  <si>
    <t>Forhandlingsberettiget organisation</t>
  </si>
  <si>
    <t>Tidsbegrænset ansat indtil dato:</t>
  </si>
  <si>
    <t>(Angiv årsag i bemærkningsfelt)</t>
  </si>
  <si>
    <t>Beregning af økonomisk råderum</t>
  </si>
  <si>
    <t>Den tidligere medarbejders navn</t>
  </si>
  <si>
    <t>pensionsret i bemærkningsfeltet.</t>
  </si>
  <si>
    <t>Skriv evt. bemærkninger om</t>
  </si>
  <si>
    <t>Bemærkninger vedr. optjening af pensionsret, erfaringsdatoer, begivenhedsansættelser og andet</t>
  </si>
  <si>
    <t>Funktionstillæg bortfalder, hvis funktionen ophører.</t>
  </si>
  <si>
    <t>Grundlønnen er fastsat i Ishøj Kommunes Forhåndsaftale</t>
  </si>
  <si>
    <t>Ingen fritvalgsordning</t>
  </si>
  <si>
    <t>Overenskomst for ledere i ungdomsskolen</t>
  </si>
  <si>
    <t>Ungdomsskoleleder</t>
  </si>
  <si>
    <t>Aftale for tjenestmandsansatte ledere i ungdomsskolen</t>
  </si>
  <si>
    <t>Landsforeningen af ungdomsskoleledere, Frederiksborggade 5, 2, 1360 Kbh K</t>
  </si>
  <si>
    <t>Ingen overenskomstbestemte tillæg</t>
  </si>
  <si>
    <t>Pædagogmedhjælpere og pædagogiske assistenter (PAU'ere)</t>
  </si>
  <si>
    <t>Kvalifikationstillæg</t>
  </si>
  <si>
    <t>Pædagopgmedhjælpere med 3 års erfaring ydes 3 løntrin. Efter 11 år ydes yderligere 3 løntrin</t>
  </si>
  <si>
    <t>PAU'ere med 3 års erfaring ydes 3 løntrin. Efter 6 år ydes yderligere 3 løntrin. Erfaring som medhjælper medtælles.</t>
  </si>
  <si>
    <t>.</t>
  </si>
  <si>
    <t>Der ydes et ikke-pensionsgivende tillæg på 12.900 (gradueret efter timetal på funktionen) til støttemedhjælpere,</t>
  </si>
  <si>
    <t>Pædagogmedhjælpere har grundløn 13 + 1.552, pædagogiske assistenter (PAU'ere) har grundløn trin 19 + 1.392</t>
  </si>
  <si>
    <t>Karens</t>
  </si>
  <si>
    <t>Fyldt 21 år. 10 måneders ansættelse med mindst 8 timer ugentligt indenfor de sidste 8 år i kommuner og regioner</t>
  </si>
  <si>
    <t>Særlig feriegodtgørelse</t>
  </si>
  <si>
    <t>Fritvalgsordning</t>
  </si>
  <si>
    <t>Kun fritvalgsordning for 55+ årige</t>
  </si>
  <si>
    <t>Overenskomst for pædagogmedhjælpere og pædagogiske assistenter (PAU'ere)</t>
  </si>
  <si>
    <t>12,94 procent</t>
  </si>
  <si>
    <t>1,95 procent</t>
  </si>
  <si>
    <t>til medhjælpere i afdelinger som kun har handicappede børn, til børnehavekl.medhjælpere og til prg. 20,2 skoler</t>
  </si>
  <si>
    <t>2,45 procent</t>
  </si>
  <si>
    <t>2,35 procent</t>
  </si>
  <si>
    <t>2,15 procent</t>
  </si>
  <si>
    <t>Medarbejder kan selv vælge at meddele Økonomi-Løn at han/hun ønsker at få indbetalt mere til pension med modregning i lønnen.</t>
  </si>
  <si>
    <t>Centralt aftalt tillæg (pens)</t>
  </si>
  <si>
    <t>Funktionstillæg (pens), (lokalt)</t>
  </si>
  <si>
    <t>Konverteret ulempe (ikke-pens)</t>
  </si>
  <si>
    <t>Ikke-pens. funktionstillæg</t>
  </si>
  <si>
    <t>Kval.tillæg (pens) (lokalt aftalt)</t>
  </si>
  <si>
    <t>Overgangstillæg (pens)</t>
  </si>
  <si>
    <t>Overgangstillæg (ikke-pens)</t>
  </si>
  <si>
    <t>Udligningstillæg (pens)</t>
  </si>
  <si>
    <t>Pædagoger ansat i vuggestuer, børnehaver, SFO'ere og på skoler</t>
  </si>
  <si>
    <t>Ernæringshjælpere med mere end 7 års erfaring indplaceres på trin 1.</t>
  </si>
  <si>
    <t>Hjælpere med mindre end 7 års erfa, indplaceres på 97% af trin 1. (gang arbejdstid med 0,97 i lønskema)</t>
  </si>
  <si>
    <t>Ernæringsassistenter</t>
  </si>
  <si>
    <t>Kosteneansvarlige</t>
  </si>
  <si>
    <t>Kosteneansvarlige indplaceres på trin 3+3100 uanset erfaring</t>
  </si>
  <si>
    <t>Proff.bach ernæring</t>
  </si>
  <si>
    <t>Proff.bach i ernæring og sundhed med mindre end 4 års erfa, trin 4+3100, mere end 4 år, trin 5.</t>
  </si>
  <si>
    <t>Ergo og Fys</t>
  </si>
  <si>
    <t>Sygeplejersker</t>
  </si>
  <si>
    <t>Ergoterapeuter og fysioterapeuter med mindre end 4 års erfa, trin 4+3100, mere end 4 år, trin 7.</t>
  </si>
  <si>
    <t>Sygeplejersker med mindre end 4 års erfa, trin 4+3100, mere end 4 år, trin 7</t>
  </si>
  <si>
    <t>Sundhedsplejersker</t>
  </si>
  <si>
    <t>Sund.pl med mindre end 4 års erfa, trin 5+3100+6600, mere end 4 år, trin 8+6600.</t>
  </si>
  <si>
    <t>Selvtilrettelæggende sundhedsplejersker, grundløn trin 8+6600</t>
  </si>
  <si>
    <t>Overenskomst for specialarbejdere, faglærte gartnere m.fl.</t>
  </si>
  <si>
    <t>Grundløn specialarbejdere</t>
  </si>
  <si>
    <t>Specialarbejdere og gartnere</t>
  </si>
  <si>
    <t>Grundløn faglærte gartnere</t>
  </si>
  <si>
    <t>Grundlønnen for specialarbejdere er trin 20 + 1.900 (FKKA området)</t>
  </si>
  <si>
    <t>Grundlønnen for faglærte gartnere er trin 27 + 1.900 (FKKA området)</t>
  </si>
  <si>
    <t>Overenskomsten oplister en række funktioner for hvilke der lokalt skal aftales et tillæg</t>
  </si>
  <si>
    <t>Specialarbejdere har en garantiløn på trin 22 +1.900 efter 4 år som specialarbejdere i Ishøj Kommune</t>
  </si>
  <si>
    <t>Garantiløn</t>
  </si>
  <si>
    <t>Overenskomsten oplister en række kvalifikationer for hvilke der lokalt skal aftales et tillæg</t>
  </si>
  <si>
    <t>Aftales individuelt</t>
  </si>
  <si>
    <t>Karensregler</t>
  </si>
  <si>
    <t>Fritvalg mht pension</t>
  </si>
  <si>
    <t>Hvis man intet vælger</t>
  </si>
  <si>
    <t>Individuel pension</t>
  </si>
  <si>
    <t>Pension til medarbejdere som er fyldt 21 år, som har mindst 9 måneders sammenlagt forudgående beskæftigelse i kommuner / regioner, (mindst 8 timer ugl) indenfor de seneste 8 år (Reglerne er ændret pr. 1. januar 2014)</t>
  </si>
  <si>
    <t>14,55 procent</t>
  </si>
  <si>
    <t>3F</t>
  </si>
  <si>
    <t>FOA eller 3F</t>
  </si>
  <si>
    <t>Overenskomst for teknisk service</t>
  </si>
  <si>
    <t>Teknisk servicemedarbejdere, tekniske serviceledere, teknisk servicechef m.fl.</t>
  </si>
  <si>
    <t>Grundløn - teknisk servicemedarbejder</t>
  </si>
  <si>
    <t>Grundløn - teknisk serviceleder</t>
  </si>
  <si>
    <t>Grundløn 14 + 1.800</t>
  </si>
  <si>
    <t>Grundløn - teknisk servicechef</t>
  </si>
  <si>
    <t>Grundløn 17 + 500, 22 + 500 eller 27 + 500</t>
  </si>
  <si>
    <t>Grundløn 27 + 500 eller 32 + 500</t>
  </si>
  <si>
    <t>Grundløn - udd. Ejendomsservicetekniker</t>
  </si>
  <si>
    <t>Grundløn 22 + 500 eller 24 + 500</t>
  </si>
  <si>
    <t>Teknisk servicemedarbejdere ydes +2 trin efter 6 års sammenlagt beskæftigelse indenfor faget</t>
  </si>
  <si>
    <t>13,5 procent</t>
  </si>
  <si>
    <t>Pension til medarbejdere som er fyldt 21 år, som har mindst 10 måneders sammenlagt forudgående beskæftigelse i kommuner / regioner, (mindst 8 timer ugl) indenfor de seneste 8 år (Reglerne er ændret pr. 1. januar 2014)</t>
  </si>
  <si>
    <t>Overenskomst for assistenter, mestre og driftsledere</t>
  </si>
  <si>
    <t>Grundløn 32</t>
  </si>
  <si>
    <t>Pension fra ansættelsen</t>
  </si>
  <si>
    <t>Medarbejder kan vælge at få udbetalt den pension som overstiger 15,79 procent</t>
  </si>
  <si>
    <t>18,35 procent</t>
  </si>
  <si>
    <t>Foretages intet valg, er pensionsprocenten 18,35%</t>
  </si>
  <si>
    <t>Dansk Metal eller Dansk El Forbund</t>
  </si>
  <si>
    <t>Socialrådgivere og socialformidlere</t>
  </si>
  <si>
    <t>Grundløn socialrådgivere</t>
  </si>
  <si>
    <t>Grundløn socialformidlere</t>
  </si>
  <si>
    <t>Grundløn 32 + 2.000, 34, 37, 41 + 3.900 eller 46 + 12.700</t>
  </si>
  <si>
    <t>Grundløn - ledere)</t>
  </si>
  <si>
    <t>Grundløn 42 + 3.900 eller 47 + 7.700</t>
  </si>
  <si>
    <t xml:space="preserve">"Familiebehandlingstillæg" ved døgninstitioner på 16.400; "Hjemme-hos" tillæg på 16.400 </t>
  </si>
  <si>
    <t>Praktikvejledertillæg</t>
  </si>
  <si>
    <t>Praktikvejledere (på grundløn 31-37) ydes et tillæg (se forhåndsaftale)</t>
  </si>
  <si>
    <t>Pensionsprocent socialrådgivere</t>
  </si>
  <si>
    <t>14,37 procent (Grundløn 31 + 2.000, 34 og 37)</t>
  </si>
  <si>
    <t>14,5 procent (grundløn 41 + 3.900)</t>
  </si>
  <si>
    <t>17,7 procent (grundløn 42 + 3.900 og højere)</t>
  </si>
  <si>
    <t>Pensionsprocent socialformidlere</t>
  </si>
  <si>
    <t>15,65 procent (grundløn 32 + 2.000, 34, 37 og 41 + 3.900)</t>
  </si>
  <si>
    <t>Pension ved ansættelsen (ændring pr. 1. januar 2014)</t>
  </si>
  <si>
    <t>Dansk  Socialrådgiverforening eller HK Kommunal</t>
  </si>
  <si>
    <t>Grundløn 31 + 2.000, 34, 37, 41 + 3.900 eller 46 x 12.700</t>
  </si>
  <si>
    <t>Tjenstemandsansatte bibliotikarer</t>
  </si>
  <si>
    <t>Grundløn basisstillinger</t>
  </si>
  <si>
    <t>Grundløn specialister</t>
  </si>
  <si>
    <t>Grundløn 37 eller 42 + 3.100</t>
  </si>
  <si>
    <t>Grundløn Mellemledere</t>
  </si>
  <si>
    <t>Grundløn 37, 42 + 3.100 eller 46 + 3.100</t>
  </si>
  <si>
    <t>Grundløn ledere</t>
  </si>
  <si>
    <t>Grundløn 46 + 3.100 elller 50 + 3.100</t>
  </si>
  <si>
    <t>Der skal indgås forhåndsaftale, hvis basisbibliotikarer varetageraften, lørdags, bogbus eller søndagstjeneste</t>
  </si>
  <si>
    <t>Ingen overenskomstbestemte kvalifikationstillæg</t>
  </si>
  <si>
    <t>17,82 procent (1. jan 2014)</t>
  </si>
  <si>
    <t>Overenskomsten omtaler ikke om medarbejdere selv har mulighed for at foretage en forhøjet pensionsindbetaling</t>
  </si>
  <si>
    <t>Aftale for tjenstemandsansatte bibliotekarer</t>
  </si>
  <si>
    <t>Grundløn 25 + 2.200 (1. jan. 2014)</t>
  </si>
  <si>
    <t>Teknisk Landsforbund eller Konstruktørforeningen</t>
  </si>
  <si>
    <t>Overenskomst for bygningskonstruktører</t>
  </si>
  <si>
    <t>Bygningskonstruktører</t>
  </si>
  <si>
    <t>Grundløn 29 + 1.400.</t>
  </si>
  <si>
    <t>Grundløn fagligt ansvarlige</t>
  </si>
  <si>
    <t>Grundløn ledelsesopgaver</t>
  </si>
  <si>
    <t>Grundløn 35 + 2.000 eller 41</t>
  </si>
  <si>
    <t>Der skal indgås lokalaftale for basismedarbejdere</t>
  </si>
  <si>
    <t>Kvaliifikationstillæg</t>
  </si>
  <si>
    <t>16,8 procent (pr. 1. januar 2014)</t>
  </si>
  <si>
    <t>Foretages intet valg, er pensionsprocenten 16,8%</t>
  </si>
  <si>
    <t>Grundlønnen er 238.212 (31.03.2000 niveau)</t>
  </si>
  <si>
    <t>Ingen overenskomstbestemte tillæg (udover de anciennitetsbestemte)</t>
  </si>
  <si>
    <t>Medarbejdere ydes efter 4 års beskæftigelse (efter endt uddannelse) et tillæg på 19.419 (31.03.2000)</t>
  </si>
  <si>
    <t>Medarbejdere ydes efter 8 års beskæftigelse (efter endt uddannelse) et yderligere tillæg på 16.039 (31.03.2000)</t>
  </si>
  <si>
    <t>18,5 procent</t>
  </si>
  <si>
    <t>Medarbejder kan vælge at få udbetalt den pension som overstiger 16,6 procent</t>
  </si>
  <si>
    <t>Foretages intet valg, er pensionsprocenten 18,5%</t>
  </si>
  <si>
    <t>Laboranter, laboratoriteknikere, laborantpraktikanter, miljøteknikere, miljøassistenter og professionsbachelorer</t>
  </si>
  <si>
    <t>Grundløn miljøassistenter</t>
  </si>
  <si>
    <t>Grundløn 22 + 1.800</t>
  </si>
  <si>
    <t>Grundløn laboranter</t>
  </si>
  <si>
    <t>Grundløn 23 + 1.800</t>
  </si>
  <si>
    <t>Grundløn laboratorieteknikere</t>
  </si>
  <si>
    <t>Grundløn miljøteknikere</t>
  </si>
  <si>
    <t>Grundløn 29 + 2.600</t>
  </si>
  <si>
    <t>Grundløn Professionsbachelorer</t>
  </si>
  <si>
    <t>Grundløn 32 (1. januar 2014)</t>
  </si>
  <si>
    <t>Grundløn specialister og ledere</t>
  </si>
  <si>
    <t>Grundløn 32 eller 36 + 2.600</t>
  </si>
  <si>
    <t>Praktikvejleder</t>
  </si>
  <si>
    <t>Der skal indgås forhåndsaftale for medarbejdere på grundløn 22 + 1800 - 29 + 2.600</t>
  </si>
  <si>
    <t>Overenskomst for laboratorie- og miljøpersonale</t>
  </si>
  <si>
    <t>Ingen overenskomstbestemte tillæg (udover praktikvejleder)</t>
  </si>
  <si>
    <t>Laboranter på grundløn 23 + 1.800 ydes 7 løntrin efter 6 års beskæftigelse på grundlag af grunduddannelsen</t>
  </si>
  <si>
    <t>Miljøassistenter på grundløn 22 + 1.800 ydes 7 løntrin efter 6 års beskæftigelse på grundlag af grunduddannelsen</t>
  </si>
  <si>
    <t>15,5 procent</t>
  </si>
  <si>
    <t>HK Kommunal</t>
  </si>
  <si>
    <t>Overenskomst for pædagogisk uddannet personale ansat i lederstillinger i kommunerne</t>
  </si>
  <si>
    <t>Pædagoger, der ansættes som pædagogisk-administrative ledere</t>
  </si>
  <si>
    <t>Se forhåndsaftalen</t>
  </si>
  <si>
    <t>15,64 procent</t>
  </si>
  <si>
    <t>Pension ved ansættelsen</t>
  </si>
  <si>
    <t>BUPL, FOA eller SL</t>
  </si>
  <si>
    <t>17,3 procent (17,9% incl. Fritvalgstillæg)</t>
  </si>
  <si>
    <t>Pensionsprocent (93 gruppen)</t>
  </si>
  <si>
    <t>19,8 procent (20,4% incl. Fritvalgstillæg)</t>
  </si>
  <si>
    <t>Fritvalgstillæg på 0,6 prcent (pr. 1. januar 2014)</t>
  </si>
  <si>
    <t>Ydes løntillægget</t>
  </si>
  <si>
    <t>Særligt vedr. pens,giv tillæg</t>
  </si>
  <si>
    <t>Tjenstemæmd kan vælge at få pensionen af tillæggene på 13.000, 6.400 og 12.000 som løntillæg.</t>
  </si>
  <si>
    <t>Overenskomst for lærere i ungdomsskolen</t>
  </si>
  <si>
    <t>Grundløn 30 + 3.000</t>
  </si>
  <si>
    <t>Varetages stedfortræderfunktion ydes tillæg på 15.400</t>
  </si>
  <si>
    <t>Øvrige funktionstillæg</t>
  </si>
  <si>
    <t>Se overenskosmten for timetillæg for forskellige typer undervisning</t>
  </si>
  <si>
    <t>Lærere i ungdomsskolen ydes et tillæg på 10.100 (ungdomsskoletillæg)</t>
  </si>
  <si>
    <t>Lærere med 4 års sammenlagt besk. på grundlag af grunduddannelsen, indplaceres på trin 34 + 3.000</t>
  </si>
  <si>
    <t>Efter 8 års sammenlagt besk. På baggrund af grunduddannelsen, indplaceres læreren på trin 39</t>
  </si>
  <si>
    <t>Efter 12 års sammenlagt besk. På baggrund af grunduddanelsen indpalceres læreren på trin 39 + 10.000</t>
  </si>
  <si>
    <t>Anciennitetstillæg</t>
  </si>
  <si>
    <t>Lærere i ungdomsskolen</t>
  </si>
  <si>
    <t>Trin 46 + 4200 (steget fra 2000 den 1. jan 2014), eller trin 48 eller trin 49</t>
  </si>
  <si>
    <t>Ledere og mellemledere på skolerne og ledere med læreruddannelse ansat i pædagogisk-administrative stillinger i CBU, skolekonsulenter med ledelse og (skole)psykologer med/uden ledelse</t>
  </si>
  <si>
    <t>LC</t>
  </si>
  <si>
    <t>Musikskoleledere med MGK ydes tillæg på 41.000</t>
  </si>
  <si>
    <t>Fritvalgsordning på 0,34 procent</t>
  </si>
  <si>
    <t>Foretages intet valg, udgør pensionsprocenten 15,64%</t>
  </si>
  <si>
    <t>FMM</t>
  </si>
  <si>
    <t>Overenskomst for musikskolelærere</t>
  </si>
  <si>
    <t>Overenskomst for musikskoleledere</t>
  </si>
  <si>
    <t>Musikskolelærere</t>
  </si>
  <si>
    <t>Musikskoleledere</t>
  </si>
  <si>
    <t>Grundløn 28</t>
  </si>
  <si>
    <t>Lærere som efter 6 års besk efter overenskomsten ikke allerede har opnået det, indplaceres på trin 34</t>
  </si>
  <si>
    <t>Lærere som efter 10 års besk efter overenskomsten ikke allerede har opnået det, indplaceres på trin 40</t>
  </si>
  <si>
    <t>Pension til lærere med mindst 12 måneders månedslønsbeskæftigelse efter overenskomsten</t>
  </si>
  <si>
    <t>Tandlæger, afdelingstandlæger, overtandlæger og specialtandlæger</t>
  </si>
  <si>
    <t>Grundløn tandlæger</t>
  </si>
  <si>
    <t>Grundløn 40 + 6.300</t>
  </si>
  <si>
    <t>Grundløn afdelingstandlæge</t>
  </si>
  <si>
    <t>Grundløn 49</t>
  </si>
  <si>
    <t>Grundløn overtandlæge</t>
  </si>
  <si>
    <t>Grundløn 51+ 48.000</t>
  </si>
  <si>
    <t>Grundløn specialtandlæge</t>
  </si>
  <si>
    <t>Grundløn 51 + 6.300</t>
  </si>
  <si>
    <t>Filialklinikledertillæg</t>
  </si>
  <si>
    <t>Aftales lokalt</t>
  </si>
  <si>
    <t xml:space="preserve">Tandlæger som efter 4 års ansættelse ikke allerede har opnået det, indplaceres på trin 46 + 6.300 </t>
  </si>
  <si>
    <t>(Filialklinikledertillæg modregnes ikke i garantilønnen)</t>
  </si>
  <si>
    <t>19,65 procent</t>
  </si>
  <si>
    <t xml:space="preserve">Pension til 21-25 årige tandlæger efter 8 måneders kommunal, amtslig, regional ansættelse på mindst 8 timer. </t>
  </si>
  <si>
    <t>Pension ved ansættelsen til tandlæger over 25 år.</t>
  </si>
  <si>
    <t>Medarbejder kan vælge at få udbetalt den pension som overstiger 15,8 procent</t>
  </si>
  <si>
    <t>Foretages intet valg, udgør pensionsprocenten 19,65%</t>
  </si>
  <si>
    <t>De Offentlige Tandlæger, Peter Bangs Vej 36, 3. tv, 2000 Frederiksberg eller Tandlægeforeningen Amaliegade 17, 1256 Kbh K.</t>
  </si>
  <si>
    <t>Tjenestemandsansatte tandlæger</t>
  </si>
  <si>
    <t>Overenskomst for tandklinikassistenter</t>
  </si>
  <si>
    <t>Grundløn tandklinikassistenter</t>
  </si>
  <si>
    <t>Grundløn 1. tandklinikassistenter</t>
  </si>
  <si>
    <t>Grundløn 27</t>
  </si>
  <si>
    <t>Grundløn 30 + 2.400 eller 36 + 2.600</t>
  </si>
  <si>
    <t>Tandklinikassistenter på grundløn 22 ydes 6 trin efter 7 års sammenlagt besk. På grundlag af grunduddannelsen.</t>
  </si>
  <si>
    <t>(De 6 trin ydes i evt. andre tillæg</t>
  </si>
  <si>
    <t>Ingen overenskomstbestemte tillæg udover 7 års tillægget</t>
  </si>
  <si>
    <t>Der skal indgås aftale om et praktikvejlertillæg</t>
  </si>
  <si>
    <t>Pension til medarbejdere over 21 år</t>
  </si>
  <si>
    <t>Ishøj Kommunale Tandplejes Tillidsrepræsentant for tandklinikassistenterne.</t>
  </si>
  <si>
    <t>Løntilskud</t>
  </si>
  <si>
    <t>Eventuelle forudgående løntilskudsperioder indgår i pensionskarenstid</t>
  </si>
  <si>
    <t>Eventuelle forudgående løntilskudsperioder indgår i opgørelse af erfaringsdato</t>
  </si>
  <si>
    <t>Eventuelle forudgående løntilskudsperioder indgår ikke i optjeningen af rådighedstillæggets anciennitet</t>
  </si>
  <si>
    <t>Bemærk at kun løntilskud i Ishæj Kommune medtælles i anciennitetsoptjeningen.</t>
  </si>
  <si>
    <t>01.01.2014</t>
  </si>
  <si>
    <t>Overenskomst for pædagoger ved daginst, sfoére, klubber mv.</t>
  </si>
  <si>
    <t>Grundløn 26</t>
  </si>
  <si>
    <t>Grundløn pædagpger</t>
  </si>
  <si>
    <t>Grundløn ikke-uddannede klub</t>
  </si>
  <si>
    <t>Grundløn mellemledere</t>
  </si>
  <si>
    <t>Afd.ledere trin 30, stedfortrædere, trin 29, souschefer trin 30</t>
  </si>
  <si>
    <t xml:space="preserve">Funktionstillæg </t>
  </si>
  <si>
    <t>Pædagoger som efter 6 års ansætelse på bagrund af pæd.uddannelsen ikke allerede er det, aflønnes på trin 30.</t>
  </si>
  <si>
    <t>Pædagoger som efter 6 års ansætelse på bagrund af pæd.uddannelsen ikke allerede er det, aflønnes på trin 35</t>
  </si>
  <si>
    <t>13,98 procent (steget 1. jan. 2014)</t>
  </si>
  <si>
    <t>Ændring af</t>
  </si>
  <si>
    <t>lønsammensætning</t>
  </si>
  <si>
    <t>Pædagoger - Garantiløn 6 år</t>
  </si>
  <si>
    <t>Pædagoger - Garantiløn 10 år</t>
  </si>
  <si>
    <t>Lønindplaceringsskemaer sendes til BUPL, Lindevænget 19, 2750 Ballerup</t>
  </si>
  <si>
    <t>Lønindplaceringsskemaet sendes til fællestillidsrepræsentant, Ulla Skytt i Viben SFO med intern post eller pr. email xxxxxxxxxxxxx</t>
  </si>
  <si>
    <t>Medarbejdere med pædagogisk baggrund ansat i "Tryghed og kriminalitetsforebyggelse"</t>
  </si>
  <si>
    <t>Grundløn 30 + 4.000</t>
  </si>
  <si>
    <t>Forhåndsaftale:</t>
  </si>
  <si>
    <t>Der ydes 10.000 i tillæg for weekendarbejde</t>
  </si>
  <si>
    <t>Der ydes 22.400 i tillæg for aftenarbejde</t>
  </si>
  <si>
    <t>Der ydes 3.500 i tillæg for potentielt akut tilkald</t>
  </si>
  <si>
    <t>Der er ingen garantiløn eller obligatoriske kval.tillæg på denne overenskomst</t>
  </si>
  <si>
    <t>Fremtidig</t>
  </si>
  <si>
    <t>lønindplacering</t>
  </si>
  <si>
    <t>31.03.2000 niveau</t>
  </si>
  <si>
    <t>Rådighedstillæg</t>
  </si>
  <si>
    <t>Funktionstillæg for selvstyrende team/fleksibel tilrettelæg: 5.000 pens.</t>
  </si>
  <si>
    <t>Ikke-uddannede</t>
  </si>
  <si>
    <t>1 trin efter 4 år, 1 trin efter 8 år, 1 trin efter 12 år.</t>
  </si>
  <si>
    <t>Pæd. Diplom: 7.000 pens.</t>
  </si>
  <si>
    <t>Nummer</t>
  </si>
  <si>
    <t>Overenskomstens navn</t>
  </si>
  <si>
    <t>Dækningsområde</t>
  </si>
  <si>
    <t xml:space="preserve"> Originalen med alles underskrifter sendes til Økonomi-Løn.</t>
  </si>
  <si>
    <t xml:space="preserve">   Send det samtidigt til Løn-afdelingen sammen med oprettelsesskemaet</t>
  </si>
  <si>
    <t>Ved nyansættelser sendes lønindplaceringsskemaet til den forhandlingsberettigede faglige organisation.</t>
  </si>
  <si>
    <t>Ved ændringer i lønsammensætningen sendes lønindplaceringsskemaet til den forhandlingsberettigede faglige organisation.</t>
  </si>
  <si>
    <t>Overenskomsten oplister en række uddannelser for hvilke der skal aftales tillæg for lokalt.</t>
  </si>
  <si>
    <t>Ikke-uddannede klub - Garantiløn</t>
  </si>
  <si>
    <t>Procentreg:</t>
  </si>
  <si>
    <t>Beskrivelse af nuværende løn</t>
  </si>
  <si>
    <t>Funktionstillæg bortfalder hvis funktionen ophører</t>
  </si>
  <si>
    <t>Konsekvenser</t>
  </si>
  <si>
    <t>Pension for pædagogmedhjælpere over 21 år</t>
  </si>
  <si>
    <t>01.10.2014</t>
  </si>
  <si>
    <t>Nuværende ansættelsesvilkår</t>
  </si>
  <si>
    <t>For overenskomstansatte og kontraktansatte chefer indbetales 19,05%, og pr. 1. april 2016: 19,55%</t>
  </si>
  <si>
    <t>For tjenestemandsansatte chefer indbetales 18,2% supplerende pensionsbidrag af de pensionsgivende tillæg</t>
  </si>
  <si>
    <t>Kontorass og studerende, trin 12 + 1.600</t>
  </si>
  <si>
    <t>Ved assistenter forstås faglært kontorpersonale med lærlinge-, EFG- eller erhvervs-faglig grunduddannelse inden for kontorfaget (offentlig administration eller lægesekretær). Uddannede lægesekretærer ansættes som assistent.</t>
  </si>
  <si>
    <t>Ved assistenter forstås ligeledes ansatte, som har gennemgået en uddannelse, der af Undervisningsministeriet, Det faglige Udvalg for kontoruddannelser eller Område-udvalget for Kontoruddannelser til Den Offentlige Forvaltning er blevet eller bliver godkendt som sidestillet med en egentlig lærlinge-, EFG- eller erhvervsuddannelse inden for kontorfaget. Se overenskosmten for eksempler.</t>
  </si>
  <si>
    <t>Overenskomstbestemt funktionstrin</t>
  </si>
  <si>
    <t>Overenskomst bestemt kvalifikationstrin</t>
  </si>
  <si>
    <t>Overenskomst bestemt funktionstillæg</t>
  </si>
  <si>
    <t>Overenskomst bestemt kval.tillæg (pens)</t>
  </si>
  <si>
    <t>Originalen med alles underskrifter sendes til Løn</t>
  </si>
  <si>
    <t>Ved timetalsændringer fremsendes lønindplaceringsskemaet alene til Løn</t>
  </si>
  <si>
    <t>Sygeplejersker, sundhedsplejersker, ergoterapeuter, fysioterapeuter, ernæringsassistenter og proffesionsbachelorer i ernæring</t>
  </si>
  <si>
    <t>Overenskomst for administration og it</t>
  </si>
  <si>
    <t>Ernæringsass med mindre end 7 års erfa, løntrin 1+3100. Mere end 7 år, trin 3 (uden 3.100)</t>
  </si>
  <si>
    <t>Område</t>
  </si>
  <si>
    <t>Grundbeløb</t>
  </si>
  <si>
    <t>Tjenestemands</t>
  </si>
  <si>
    <t>Det eneste som skal vedligeholdes er Tjenestemandsskalaen</t>
  </si>
  <si>
    <t>AC-skala vedligeholder sig selv via reguleringsprocenten</t>
  </si>
  <si>
    <t>01.04.2015</t>
  </si>
  <si>
    <t>01.10.2015</t>
  </si>
  <si>
    <t>01.01.2016</t>
  </si>
  <si>
    <t>(0,11 procent)</t>
  </si>
  <si>
    <t>(0,96 procent)</t>
  </si>
  <si>
    <t>(0,50 procent)</t>
  </si>
  <si>
    <t>De GULE felter skal opdateres</t>
  </si>
  <si>
    <t>Overensk. for sygepl, sundhedspl, ergo, fysio, ernæringsass og proff.bachelorer i ernæring</t>
  </si>
  <si>
    <t xml:space="preserve">Procentregulering </t>
  </si>
  <si>
    <t>Almindelig skala</t>
  </si>
  <si>
    <t>Sundhedsskalaen regulerer sig selv via reguleringsprocenten</t>
  </si>
  <si>
    <t>A-niveau</t>
  </si>
  <si>
    <t xml:space="preserve">Ishøj Kommune  </t>
  </si>
  <si>
    <t>Underskrift for Ishøj Kommune</t>
  </si>
  <si>
    <t>Underskrift for den faglige organisation</t>
  </si>
  <si>
    <t>Medarbejders underskrift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</si>
</sst>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_(* #,##0.00_);_(* \(#,##0.00\);_(* &quot;-&quot;??_);_(@_)"/>
    <numFmt numFmtId="165" formatCode="#,##0.0000"/>
    <numFmt numFmtId="166" formatCode="#,##0.00;[Red]#,##0.00"/>
    <numFmt numFmtId="167" formatCode="d\/m/yyyy"/>
    <numFmt numFmtId="168" formatCode="d\/m/yy"/>
    <numFmt numFmtId="169" formatCode="0.0000"/>
    <numFmt numFmtId="170" formatCode=";;;"/>
    <numFmt numFmtId="171" formatCode="#"/>
    <numFmt numFmtId="172" formatCode="0.0000%"/>
    <numFmt numFmtId="173" formatCode="0.000000"/>
    <numFmt numFmtId="174" formatCode="_(* #,##0_);_(* \(#,##0\);_(* &quot;-&quot;??_);_(@_)"/>
    <numFmt numFmtId="175" formatCode="_(* #,##0.0_);_(* \(#,##0.0\);_(* &quot;-&quot;??_);_(@_)"/>
  </numFmts>
  <fonts count="57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8"/>
      <name val="Times New Roman"/>
      <family val="1"/>
    </font>
    <font>
      <sz val="10"/>
      <color indexed="52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6"/>
      <name val="Arial"/>
      <family val="2"/>
    </font>
    <font>
      <sz val="7"/>
      <color indexed="10"/>
      <name val="Times New Roman"/>
      <family val="1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u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9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sz val="10"/>
      <color indexed="2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color rgb="FFFF0000"/>
      <name val="Arial Narrow"/>
      <family val="2"/>
    </font>
    <font>
      <b/>
      <sz val="18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sz val="10"/>
      <color theme="4" tint="0.59999389629810485"/>
      <name val="Arial Narrow"/>
      <family val="2"/>
    </font>
    <font>
      <sz val="10"/>
      <color theme="8" tint="0.59999389629810485"/>
      <name val="Arial Narrow"/>
      <family val="2"/>
    </font>
    <font>
      <sz val="10"/>
      <color theme="0" tint="-0.34998626667073579"/>
      <name val="Arial Narrow"/>
      <family val="2"/>
    </font>
    <font>
      <sz val="10"/>
      <color theme="1" tint="0.34998626667073579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1"/>
      <color rgb="FFFF0000"/>
      <name val="Arial Narrow"/>
      <family val="2"/>
    </font>
    <font>
      <b/>
      <sz val="10.5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gray125"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23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/>
    <xf numFmtId="0" fontId="40" fillId="0" borderId="0"/>
    <xf numFmtId="0" fontId="41" fillId="0" borderId="0"/>
    <xf numFmtId="0" fontId="6" fillId="0" borderId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</cellStyleXfs>
  <cellXfs count="70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 applyProtection="1">
      <alignment horizontal="centerContinuous"/>
      <protection hidden="1"/>
    </xf>
    <xf numFmtId="0" fontId="3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 applyProtection="1">
      <protection hidden="1"/>
    </xf>
    <xf numFmtId="0" fontId="2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/>
    <xf numFmtId="0" fontId="3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166" fontId="2" fillId="2" borderId="0" xfId="0" applyNumberFormat="1" applyFont="1" applyFill="1" applyBorder="1" applyProtection="1">
      <protection hidden="1"/>
    </xf>
    <xf numFmtId="17" fontId="3" fillId="2" borderId="0" xfId="0" applyNumberFormat="1" applyFont="1" applyFill="1" applyBorder="1" applyAlignment="1" applyProtection="1">
      <alignment horizontal="center"/>
      <protection hidden="1"/>
    </xf>
    <xf numFmtId="166" fontId="2" fillId="2" borderId="0" xfId="0" applyNumberFormat="1" applyFont="1" applyFill="1" applyBorder="1" applyAlignment="1" applyProtection="1">
      <alignment horizontal="center"/>
      <protection hidden="1"/>
    </xf>
    <xf numFmtId="0" fontId="3" fillId="2" borderId="0" xfId="0" applyNumberFormat="1" applyFont="1" applyFill="1" applyBorder="1" applyAlignment="1" applyProtection="1">
      <alignment horizontal="center"/>
      <protection hidden="1"/>
    </xf>
    <xf numFmtId="17" fontId="2" fillId="2" borderId="8" xfId="0" applyNumberFormat="1" applyFont="1" applyFill="1" applyBorder="1" applyAlignment="1" applyProtection="1">
      <alignment horizontal="left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7" fontId="2" fillId="2" borderId="9" xfId="0" applyNumberFormat="1" applyFont="1" applyFill="1" applyBorder="1" applyAlignment="1" applyProtection="1">
      <alignment horizontal="left"/>
      <protection hidden="1"/>
    </xf>
    <xf numFmtId="49" fontId="2" fillId="2" borderId="0" xfId="0" applyNumberFormat="1" applyFont="1" applyFill="1" applyBorder="1" applyAlignment="1" applyProtection="1">
      <alignment horizontal="center"/>
      <protection hidden="1"/>
    </xf>
    <xf numFmtId="167" fontId="2" fillId="2" borderId="9" xfId="0" applyNumberFormat="1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17" fontId="2" fillId="2" borderId="6" xfId="0" applyNumberFormat="1" applyFont="1" applyFill="1" applyBorder="1" applyAlignment="1" applyProtection="1">
      <alignment horizontal="left"/>
      <protection hidden="1"/>
    </xf>
    <xf numFmtId="17" fontId="2" fillId="2" borderId="6" xfId="0" applyNumberFormat="1" applyFont="1" applyFill="1" applyBorder="1" applyAlignment="1" applyProtection="1">
      <alignment horizontal="center"/>
      <protection hidden="1"/>
    </xf>
    <xf numFmtId="167" fontId="2" fillId="2" borderId="10" xfId="0" applyNumberFormat="1" applyFont="1" applyFill="1" applyBorder="1" applyAlignment="1" applyProtection="1">
      <alignment horizontal="center"/>
      <protection hidden="1"/>
    </xf>
    <xf numFmtId="167" fontId="2" fillId="2" borderId="5" xfId="0" applyNumberFormat="1" applyFont="1" applyFill="1" applyBorder="1" applyAlignment="1" applyProtection="1">
      <alignment horizontal="center"/>
      <protection hidden="1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" fontId="2" fillId="2" borderId="8" xfId="0" applyNumberFormat="1" applyFont="1" applyFill="1" applyBorder="1" applyAlignment="1" applyProtection="1">
      <alignment horizontal="right"/>
      <protection hidden="1"/>
    </xf>
    <xf numFmtId="0" fontId="2" fillId="2" borderId="2" xfId="0" applyFont="1" applyFill="1" applyBorder="1"/>
    <xf numFmtId="0" fontId="2" fillId="0" borderId="6" xfId="0" applyNumberFormat="1" applyFont="1" applyFill="1" applyBorder="1" applyAlignment="1" applyProtection="1">
      <alignment horizontal="right"/>
      <protection locked="0"/>
    </xf>
    <xf numFmtId="4" fontId="2" fillId="2" borderId="10" xfId="0" applyNumberFormat="1" applyFont="1" applyFill="1" applyBorder="1" applyAlignment="1" applyProtection="1">
      <alignment horizontal="right"/>
      <protection hidden="1"/>
    </xf>
    <xf numFmtId="0" fontId="2" fillId="2" borderId="7" xfId="0" applyFont="1" applyFill="1" applyBorder="1"/>
    <xf numFmtId="3" fontId="2" fillId="2" borderId="11" xfId="1" applyNumberFormat="1" applyFont="1" applyFill="1" applyBorder="1" applyAlignment="1" applyProtection="1">
      <alignment horizontal="right"/>
      <protection hidden="1"/>
    </xf>
    <xf numFmtId="0" fontId="2" fillId="2" borderId="9" xfId="0" applyFont="1" applyFill="1" applyBorder="1"/>
    <xf numFmtId="4" fontId="2" fillId="2" borderId="11" xfId="1" applyNumberFormat="1" applyFont="1" applyFill="1" applyBorder="1" applyAlignment="1" applyProtection="1">
      <alignment horizontal="right"/>
      <protection hidden="1"/>
    </xf>
    <xf numFmtId="0" fontId="2" fillId="2" borderId="5" xfId="0" applyFont="1" applyFill="1" applyBorder="1"/>
    <xf numFmtId="4" fontId="2" fillId="2" borderId="11" xfId="0" applyNumberFormat="1" applyFont="1" applyFill="1" applyBorder="1" applyAlignment="1" applyProtection="1">
      <alignment horizontal="right"/>
      <protection hidden="1"/>
    </xf>
    <xf numFmtId="0" fontId="8" fillId="2" borderId="4" xfId="0" applyNumberFormat="1" applyFont="1" applyFill="1" applyBorder="1" applyAlignment="1">
      <alignment horizontal="center"/>
    </xf>
    <xf numFmtId="4" fontId="2" fillId="0" borderId="9" xfId="1" applyNumberFormat="1" applyFont="1" applyFill="1" applyBorder="1" applyAlignment="1" applyProtection="1">
      <alignment horizontal="right"/>
      <protection locked="0"/>
    </xf>
    <xf numFmtId="164" fontId="2" fillId="2" borderId="5" xfId="0" applyNumberFormat="1" applyFont="1" applyFill="1" applyBorder="1"/>
    <xf numFmtId="4" fontId="2" fillId="2" borderId="5" xfId="1" applyNumberFormat="1" applyFont="1" applyFill="1" applyBorder="1" applyProtection="1">
      <protection hidden="1"/>
    </xf>
    <xf numFmtId="4" fontId="2" fillId="2" borderId="9" xfId="0" applyNumberFormat="1" applyFont="1" applyFill="1" applyBorder="1" applyAlignment="1" applyProtection="1">
      <alignment horizontal="right"/>
      <protection hidden="1"/>
    </xf>
    <xf numFmtId="0" fontId="8" fillId="2" borderId="10" xfId="0" applyFont="1" applyFill="1" applyBorder="1"/>
    <xf numFmtId="4" fontId="2" fillId="0" borderId="7" xfId="1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/>
    <xf numFmtId="4" fontId="2" fillId="2" borderId="7" xfId="1" applyNumberFormat="1" applyFont="1" applyFill="1" applyBorder="1" applyProtection="1">
      <protection hidden="1"/>
    </xf>
    <xf numFmtId="0" fontId="8" fillId="2" borderId="12" xfId="0" applyFont="1" applyFill="1" applyBorder="1"/>
    <xf numFmtId="4" fontId="2" fillId="2" borderId="11" xfId="1" applyNumberFormat="1" applyFont="1" applyFill="1" applyBorder="1" applyProtection="1">
      <protection hidden="1"/>
    </xf>
    <xf numFmtId="0" fontId="2" fillId="2" borderId="13" xfId="0" applyFont="1" applyFill="1" applyBorder="1"/>
    <xf numFmtId="4" fontId="2" fillId="2" borderId="13" xfId="1" applyNumberFormat="1" applyFont="1" applyFill="1" applyBorder="1" applyProtection="1">
      <protection hidden="1"/>
    </xf>
    <xf numFmtId="4" fontId="2" fillId="2" borderId="14" xfId="0" applyNumberFormat="1" applyFont="1" applyFill="1" applyBorder="1" applyAlignment="1" applyProtection="1">
      <alignment horizontal="right"/>
      <protection hidden="1"/>
    </xf>
    <xf numFmtId="0" fontId="9" fillId="2" borderId="0" xfId="0" applyFont="1" applyFill="1" applyBorder="1"/>
    <xf numFmtId="0" fontId="2" fillId="2" borderId="0" xfId="0" applyNumberFormat="1" applyFont="1" applyFill="1" applyBorder="1" applyAlignment="1">
      <alignment horizontal="right"/>
    </xf>
    <xf numFmtId="17" fontId="2" fillId="2" borderId="0" xfId="0" applyNumberFormat="1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>
      <alignment horizontal="right"/>
    </xf>
    <xf numFmtId="4" fontId="2" fillId="2" borderId="0" xfId="0" applyNumberFormat="1" applyFont="1" applyFill="1" applyBorder="1" applyProtection="1">
      <protection hidden="1"/>
    </xf>
    <xf numFmtId="4" fontId="2" fillId="2" borderId="0" xfId="0" applyNumberFormat="1" applyFont="1" applyFill="1" applyBorder="1" applyAlignment="1" applyProtection="1">
      <alignment horizontal="right"/>
      <protection hidden="1"/>
    </xf>
    <xf numFmtId="4" fontId="2" fillId="0" borderId="0" xfId="0" applyNumberFormat="1" applyFont="1" applyFill="1" applyBorder="1" applyProtection="1"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Protection="1">
      <protection hidden="1"/>
    </xf>
    <xf numFmtId="4" fontId="2" fillId="0" borderId="7" xfId="0" applyNumberFormat="1" applyFont="1" applyFill="1" applyBorder="1" applyProtection="1">
      <protection locked="0"/>
    </xf>
    <xf numFmtId="4" fontId="2" fillId="0" borderId="7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Protection="1">
      <protection hidden="1"/>
    </xf>
    <xf numFmtId="4" fontId="2" fillId="2" borderId="15" xfId="0" applyNumberFormat="1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166" fontId="3" fillId="2" borderId="0" xfId="0" applyNumberFormat="1" applyFont="1" applyFill="1" applyBorder="1" applyProtection="1">
      <protection hidden="1"/>
    </xf>
    <xf numFmtId="0" fontId="3" fillId="2" borderId="15" xfId="0" applyFont="1" applyFill="1" applyBorder="1"/>
    <xf numFmtId="0" fontId="2" fillId="2" borderId="0" xfId="0" applyFont="1" applyFill="1" applyBorder="1" applyProtection="1"/>
    <xf numFmtId="1" fontId="2" fillId="2" borderId="0" xfId="0" applyNumberFormat="1" applyFont="1" applyFill="1" applyBorder="1" applyAlignment="1" applyProtection="1">
      <alignment horizontal="left"/>
      <protection hidden="1"/>
    </xf>
    <xf numFmtId="0" fontId="4" fillId="0" borderId="0" xfId="0" applyFont="1" applyBorder="1" applyProtection="1"/>
    <xf numFmtId="0" fontId="4" fillId="0" borderId="16" xfId="0" applyFont="1" applyBorder="1"/>
    <xf numFmtId="0" fontId="14" fillId="0" borderId="4" xfId="0" applyFont="1" applyBorder="1" applyAlignment="1"/>
    <xf numFmtId="0" fontId="14" fillId="0" borderId="0" xfId="0" applyFont="1" applyBorder="1"/>
    <xf numFmtId="0" fontId="14" fillId="0" borderId="0" xfId="0" applyFont="1" applyFill="1" applyBorder="1"/>
    <xf numFmtId="1" fontId="4" fillId="0" borderId="0" xfId="0" applyNumberFormat="1" applyFont="1" applyBorder="1"/>
    <xf numFmtId="0" fontId="4" fillId="0" borderId="0" xfId="0" applyFont="1" applyFill="1" applyBorder="1"/>
    <xf numFmtId="10" fontId="2" fillId="2" borderId="9" xfId="0" applyNumberFormat="1" applyFont="1" applyFill="1" applyBorder="1" applyAlignment="1" applyProtection="1">
      <alignment horizontal="center"/>
      <protection hidden="1"/>
    </xf>
    <xf numFmtId="167" fontId="2" fillId="2" borderId="0" xfId="0" applyNumberFormat="1" applyFont="1" applyFill="1" applyBorder="1" applyProtection="1">
      <protection hidden="1"/>
    </xf>
    <xf numFmtId="10" fontId="2" fillId="2" borderId="8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7" xfId="0" applyFont="1" applyFill="1" applyBorder="1" applyAlignment="1" applyProtection="1">
      <alignment horizontal="right"/>
      <protection hidden="1"/>
    </xf>
    <xf numFmtId="0" fontId="2" fillId="2" borderId="15" xfId="0" applyFont="1" applyFill="1" applyBorder="1" applyAlignment="1" applyProtection="1">
      <alignment horizontal="right"/>
      <protection hidden="1"/>
    </xf>
    <xf numFmtId="164" fontId="3" fillId="2" borderId="0" xfId="0" applyNumberFormat="1" applyFont="1" applyFill="1" applyBorder="1" applyProtection="1">
      <protection hidden="1"/>
    </xf>
    <xf numFmtId="0" fontId="3" fillId="3" borderId="17" xfId="0" applyFont="1" applyFill="1" applyBorder="1" applyProtection="1">
      <protection locked="0"/>
    </xf>
    <xf numFmtId="0" fontId="3" fillId="3" borderId="18" xfId="0" applyFont="1" applyFill="1" applyBorder="1" applyProtection="1">
      <protection locked="0"/>
    </xf>
    <xf numFmtId="0" fontId="3" fillId="2" borderId="0" xfId="0" applyFont="1" applyFill="1" applyProtection="1"/>
    <xf numFmtId="0" fontId="2" fillId="2" borderId="17" xfId="0" applyFont="1" applyFill="1" applyBorder="1" applyAlignment="1" applyProtection="1">
      <alignment horizontal="left"/>
    </xf>
    <xf numFmtId="0" fontId="2" fillId="2" borderId="17" xfId="0" applyFont="1" applyFill="1" applyBorder="1" applyProtection="1"/>
    <xf numFmtId="0" fontId="3" fillId="2" borderId="0" xfId="0" applyFont="1" applyFill="1" applyBorder="1" applyProtection="1"/>
    <xf numFmtId="0" fontId="3" fillId="2" borderId="17" xfId="0" applyFont="1" applyFill="1" applyBorder="1" applyProtection="1"/>
    <xf numFmtId="0" fontId="3" fillId="2" borderId="3" xfId="0" applyFont="1" applyFill="1" applyBorder="1" applyAlignment="1" applyProtection="1">
      <alignment horizontal="left"/>
    </xf>
    <xf numFmtId="0" fontId="3" fillId="2" borderId="19" xfId="0" applyFont="1" applyFill="1" applyBorder="1" applyProtection="1"/>
    <xf numFmtId="0" fontId="3" fillId="2" borderId="20" xfId="0" applyFont="1" applyFill="1" applyBorder="1" applyProtection="1"/>
    <xf numFmtId="0" fontId="3" fillId="2" borderId="18" xfId="0" applyFont="1" applyFill="1" applyBorder="1" applyProtection="1"/>
    <xf numFmtId="0" fontId="2" fillId="2" borderId="19" xfId="0" applyFont="1" applyFill="1" applyBorder="1" applyProtection="1"/>
    <xf numFmtId="0" fontId="2" fillId="2" borderId="0" xfId="0" applyFont="1" applyFill="1" applyProtection="1"/>
    <xf numFmtId="0" fontId="2" fillId="2" borderId="1" xfId="0" applyFont="1" applyFill="1" applyBorder="1" applyProtection="1"/>
    <xf numFmtId="0" fontId="3" fillId="2" borderId="2" xfId="0" applyFont="1" applyFill="1" applyBorder="1" applyProtection="1"/>
    <xf numFmtId="0" fontId="2" fillId="2" borderId="8" xfId="0" applyFont="1" applyFill="1" applyBorder="1" applyProtection="1"/>
    <xf numFmtId="0" fontId="2" fillId="2" borderId="2" xfId="0" applyFont="1" applyFill="1" applyBorder="1" applyProtection="1"/>
    <xf numFmtId="0" fontId="2" fillId="2" borderId="4" xfId="0" applyFont="1" applyFill="1" applyBorder="1" applyProtection="1"/>
    <xf numFmtId="4" fontId="3" fillId="2" borderId="17" xfId="0" applyNumberFormat="1" applyFont="1" applyFill="1" applyBorder="1" applyProtection="1"/>
    <xf numFmtId="4" fontId="3" fillId="2" borderId="17" xfId="0" applyNumberFormat="1" applyFont="1" applyFill="1" applyBorder="1" applyProtection="1">
      <protection hidden="1"/>
    </xf>
    <xf numFmtId="0" fontId="3" fillId="2" borderId="17" xfId="0" applyFont="1" applyFill="1" applyBorder="1" applyAlignment="1" applyProtection="1">
      <alignment horizontal="center"/>
      <protection locked="0"/>
    </xf>
    <xf numFmtId="3" fontId="3" fillId="2" borderId="17" xfId="0" applyNumberFormat="1" applyFont="1" applyFill="1" applyBorder="1" applyProtection="1">
      <protection hidden="1"/>
    </xf>
    <xf numFmtId="0" fontId="2" fillId="2" borderId="9" xfId="0" applyFont="1" applyFill="1" applyBorder="1" applyAlignment="1" applyProtection="1">
      <alignment horizontal="left"/>
    </xf>
    <xf numFmtId="4" fontId="3" fillId="2" borderId="8" xfId="0" applyNumberFormat="1" applyFont="1" applyFill="1" applyBorder="1" applyProtection="1"/>
    <xf numFmtId="0" fontId="2" fillId="2" borderId="9" xfId="0" applyFont="1" applyFill="1" applyBorder="1" applyProtection="1"/>
    <xf numFmtId="4" fontId="3" fillId="2" borderId="9" xfId="0" applyNumberFormat="1" applyFont="1" applyFill="1" applyBorder="1" applyProtection="1"/>
    <xf numFmtId="3" fontId="3" fillId="2" borderId="9" xfId="0" applyNumberFormat="1" applyFont="1" applyFill="1" applyBorder="1" applyProtection="1">
      <protection hidden="1"/>
    </xf>
    <xf numFmtId="0" fontId="2" fillId="2" borderId="8" xfId="0" applyFont="1" applyFill="1" applyBorder="1" applyAlignment="1" applyProtection="1">
      <alignment horizontal="left"/>
    </xf>
    <xf numFmtId="3" fontId="3" fillId="2" borderId="8" xfId="0" applyNumberFormat="1" applyFont="1" applyFill="1" applyBorder="1" applyProtection="1">
      <protection hidden="1"/>
    </xf>
    <xf numFmtId="4" fontId="3" fillId="2" borderId="8" xfId="0" applyNumberFormat="1" applyFont="1" applyFill="1" applyBorder="1" applyProtection="1">
      <protection hidden="1"/>
    </xf>
    <xf numFmtId="4" fontId="3" fillId="2" borderId="2" xfId="0" applyNumberFormat="1" applyFont="1" applyFill="1" applyBorder="1" applyProtection="1">
      <protection hidden="1"/>
    </xf>
    <xf numFmtId="4" fontId="3" fillId="2" borderId="9" xfId="0" applyNumberFormat="1" applyFont="1" applyFill="1" applyBorder="1" applyProtection="1">
      <protection hidden="1"/>
    </xf>
    <xf numFmtId="0" fontId="2" fillId="2" borderId="20" xfId="0" applyFont="1" applyFill="1" applyBorder="1" applyProtection="1"/>
    <xf numFmtId="0" fontId="3" fillId="2" borderId="18" xfId="0" applyFont="1" applyFill="1" applyBorder="1" applyAlignment="1" applyProtection="1">
      <alignment horizontal="left"/>
    </xf>
    <xf numFmtId="0" fontId="3" fillId="2" borderId="16" xfId="0" applyFont="1" applyFill="1" applyBorder="1" applyProtection="1"/>
    <xf numFmtId="0" fontId="3" fillId="2" borderId="18" xfId="0" applyFont="1" applyFill="1" applyBorder="1" applyProtection="1">
      <protection hidden="1"/>
    </xf>
    <xf numFmtId="0" fontId="3" fillId="2" borderId="3" xfId="0" applyFont="1" applyFill="1" applyBorder="1" applyProtection="1"/>
    <xf numFmtId="0" fontId="2" fillId="2" borderId="16" xfId="0" applyFont="1" applyFill="1" applyBorder="1" applyAlignment="1" applyProtection="1">
      <alignment horizontal="center"/>
    </xf>
    <xf numFmtId="0" fontId="2" fillId="2" borderId="17" xfId="0" applyFont="1" applyFill="1" applyBorder="1" applyProtection="1">
      <protection hidden="1"/>
    </xf>
    <xf numFmtId="0" fontId="2" fillId="2" borderId="17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2" fillId="2" borderId="18" xfId="0" applyFont="1" applyFill="1" applyBorder="1" applyProtection="1"/>
    <xf numFmtId="0" fontId="5" fillId="2" borderId="0" xfId="0" applyFont="1" applyFill="1"/>
    <xf numFmtId="0" fontId="3" fillId="2" borderId="0" xfId="0" applyFont="1" applyFill="1"/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0" fontId="11" fillId="4" borderId="21" xfId="0" applyFont="1" applyFill="1" applyBorder="1" applyProtection="1">
      <protection hidden="1"/>
    </xf>
    <xf numFmtId="0" fontId="11" fillId="4" borderId="22" xfId="0" applyFont="1" applyFill="1" applyBorder="1" applyProtection="1">
      <protection hidden="1"/>
    </xf>
    <xf numFmtId="0" fontId="11" fillId="4" borderId="22" xfId="0" applyFont="1" applyFill="1" applyBorder="1" applyAlignment="1" applyProtection="1">
      <protection hidden="1"/>
    </xf>
    <xf numFmtId="0" fontId="11" fillId="4" borderId="23" xfId="0" applyFont="1" applyFill="1" applyBorder="1" applyProtection="1">
      <protection hidden="1"/>
    </xf>
    <xf numFmtId="0" fontId="11" fillId="4" borderId="0" xfId="0" applyFont="1" applyFill="1" applyBorder="1" applyProtection="1">
      <protection hidden="1"/>
    </xf>
    <xf numFmtId="0" fontId="11" fillId="4" borderId="0" xfId="0" applyFont="1" applyFill="1" applyBorder="1" applyAlignment="1" applyProtection="1">
      <alignment horizontal="center"/>
      <protection hidden="1"/>
    </xf>
    <xf numFmtId="0" fontId="11" fillId="4" borderId="24" xfId="0" applyFont="1" applyFill="1" applyBorder="1" applyProtection="1">
      <protection hidden="1"/>
    </xf>
    <xf numFmtId="0" fontId="11" fillId="4" borderId="25" xfId="0" applyFont="1" applyFill="1" applyBorder="1" applyProtection="1">
      <protection hidden="1"/>
    </xf>
    <xf numFmtId="0" fontId="11" fillId="4" borderId="25" xfId="0" applyFont="1" applyFill="1" applyBorder="1" applyAlignment="1" applyProtection="1">
      <alignment horizontal="center"/>
      <protection hidden="1"/>
    </xf>
    <xf numFmtId="0" fontId="11" fillId="5" borderId="0" xfId="0" applyFont="1" applyFill="1" applyBorder="1" applyProtection="1">
      <protection hidden="1"/>
    </xf>
    <xf numFmtId="0" fontId="11" fillId="5" borderId="7" xfId="0" applyFont="1" applyFill="1" applyBorder="1" applyProtection="1">
      <protection hidden="1"/>
    </xf>
    <xf numFmtId="3" fontId="11" fillId="4" borderId="22" xfId="0" applyNumberFormat="1" applyFont="1" applyFill="1" applyBorder="1" applyAlignment="1" applyProtection="1">
      <protection hidden="1"/>
    </xf>
    <xf numFmtId="0" fontId="12" fillId="6" borderId="0" xfId="0" applyFont="1" applyFill="1" applyBorder="1" applyAlignment="1" applyProtection="1">
      <alignment horizontal="centerContinuous"/>
      <protection hidden="1"/>
    </xf>
    <xf numFmtId="0" fontId="13" fillId="6" borderId="0" xfId="0" applyFont="1" applyFill="1" applyBorder="1" applyAlignment="1" applyProtection="1">
      <alignment horizontal="centerContinuous"/>
      <protection hidden="1"/>
    </xf>
    <xf numFmtId="3" fontId="11" fillId="4" borderId="0" xfId="0" applyNumberFormat="1" applyFont="1" applyFill="1" applyBorder="1" applyAlignment="1" applyProtection="1">
      <alignment horizontal="center"/>
      <protection hidden="1"/>
    </xf>
    <xf numFmtId="49" fontId="11" fillId="4" borderId="0" xfId="0" applyNumberFormat="1" applyFont="1" applyFill="1" applyBorder="1" applyProtection="1">
      <protection hidden="1"/>
    </xf>
    <xf numFmtId="3" fontId="11" fillId="4" borderId="0" xfId="0" applyNumberFormat="1" applyFont="1" applyFill="1" applyBorder="1" applyProtection="1">
      <protection hidden="1"/>
    </xf>
    <xf numFmtId="49" fontId="11" fillId="0" borderId="0" xfId="0" applyNumberFormat="1" applyFont="1" applyProtection="1">
      <protection hidden="1"/>
    </xf>
    <xf numFmtId="3" fontId="11" fillId="4" borderId="25" xfId="0" applyNumberFormat="1" applyFont="1" applyFill="1" applyBorder="1" applyProtection="1">
      <protection hidden="1"/>
    </xf>
    <xf numFmtId="0" fontId="11" fillId="7" borderId="26" xfId="0" applyFont="1" applyFill="1" applyBorder="1" applyProtection="1">
      <protection hidden="1"/>
    </xf>
    <xf numFmtId="0" fontId="11" fillId="8" borderId="26" xfId="0" applyFont="1" applyFill="1" applyBorder="1" applyProtection="1">
      <protection hidden="1"/>
    </xf>
    <xf numFmtId="3" fontId="11" fillId="8" borderId="26" xfId="0" applyNumberFormat="1" applyFont="1" applyFill="1" applyBorder="1" applyProtection="1">
      <protection hidden="1"/>
    </xf>
    <xf numFmtId="3" fontId="11" fillId="8" borderId="27" xfId="0" applyNumberFormat="1" applyFont="1" applyFill="1" applyBorder="1" applyProtection="1">
      <protection hidden="1"/>
    </xf>
    <xf numFmtId="4" fontId="11" fillId="0" borderId="0" xfId="0" applyNumberFormat="1" applyFont="1" applyProtection="1">
      <protection hidden="1"/>
    </xf>
    <xf numFmtId="0" fontId="11" fillId="5" borderId="28" xfId="0" applyFont="1" applyFill="1" applyBorder="1" applyProtection="1">
      <protection hidden="1"/>
    </xf>
    <xf numFmtId="3" fontId="11" fillId="5" borderId="28" xfId="0" applyNumberFormat="1" applyFont="1" applyFill="1" applyBorder="1" applyProtection="1">
      <protection hidden="1"/>
    </xf>
    <xf numFmtId="3" fontId="11" fillId="5" borderId="29" xfId="0" applyNumberFormat="1" applyFont="1" applyFill="1" applyBorder="1" applyProtection="1">
      <protection hidden="1"/>
    </xf>
    <xf numFmtId="0" fontId="11" fillId="7" borderId="30" xfId="0" applyFont="1" applyFill="1" applyBorder="1" applyProtection="1">
      <protection locked="0"/>
    </xf>
    <xf numFmtId="0" fontId="11" fillId="7" borderId="31" xfId="0" applyFont="1" applyFill="1" applyBorder="1" applyProtection="1">
      <protection locked="0"/>
    </xf>
    <xf numFmtId="0" fontId="11" fillId="5" borderId="32" xfId="0" applyFont="1" applyFill="1" applyBorder="1" applyProtection="1">
      <protection locked="0"/>
    </xf>
    <xf numFmtId="0" fontId="11" fillId="5" borderId="33" xfId="0" applyFont="1" applyFill="1" applyBorder="1" applyProtection="1">
      <protection locked="0"/>
    </xf>
    <xf numFmtId="0" fontId="11" fillId="7" borderId="26" xfId="0" applyFont="1" applyFill="1" applyBorder="1" applyProtection="1">
      <protection locked="0"/>
    </xf>
    <xf numFmtId="0" fontId="11" fillId="5" borderId="28" xfId="0" applyFont="1" applyFill="1" applyBorder="1" applyProtection="1">
      <protection locked="0"/>
    </xf>
    <xf numFmtId="3" fontId="11" fillId="7" borderId="26" xfId="0" applyNumberFormat="1" applyFont="1" applyFill="1" applyBorder="1" applyProtection="1">
      <protection locked="0"/>
    </xf>
    <xf numFmtId="3" fontId="11" fillId="5" borderId="28" xfId="0" applyNumberFormat="1" applyFont="1" applyFill="1" applyBorder="1" applyProtection="1">
      <protection locked="0"/>
    </xf>
    <xf numFmtId="14" fontId="11" fillId="4" borderId="0" xfId="0" applyNumberFormat="1" applyFont="1" applyFill="1" applyBorder="1" applyProtection="1">
      <protection hidden="1"/>
    </xf>
    <xf numFmtId="168" fontId="2" fillId="2" borderId="9" xfId="0" applyNumberFormat="1" applyFont="1" applyFill="1" applyBorder="1" applyAlignment="1" applyProtection="1">
      <alignment horizontal="center"/>
    </xf>
    <xf numFmtId="0" fontId="5" fillId="2" borderId="1" xfId="0" applyFont="1" applyFill="1" applyBorder="1"/>
    <xf numFmtId="0" fontId="5" fillId="2" borderId="6" xfId="0" applyFont="1" applyFill="1" applyBorder="1"/>
    <xf numFmtId="0" fontId="3" fillId="3" borderId="19" xfId="0" applyFont="1" applyFill="1" applyBorder="1" applyProtection="1">
      <protection locked="0"/>
    </xf>
    <xf numFmtId="0" fontId="5" fillId="2" borderId="3" xfId="0" applyFont="1" applyFill="1" applyBorder="1"/>
    <xf numFmtId="0" fontId="5" fillId="2" borderId="16" xfId="0" applyFont="1" applyFill="1" applyBorder="1"/>
    <xf numFmtId="1" fontId="3" fillId="3" borderId="17" xfId="0" applyNumberFormat="1" applyFont="1" applyFill="1" applyBorder="1" applyProtection="1">
      <protection locked="0"/>
    </xf>
    <xf numFmtId="1" fontId="3" fillId="3" borderId="8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hidden="1"/>
    </xf>
    <xf numFmtId="0" fontId="3" fillId="2" borderId="18" xfId="0" applyFont="1" applyFill="1" applyBorder="1"/>
    <xf numFmtId="0" fontId="5" fillId="2" borderId="19" xfId="0" applyFont="1" applyFill="1" applyBorder="1"/>
    <xf numFmtId="0" fontId="5" fillId="2" borderId="19" xfId="0" applyFont="1" applyFill="1" applyBorder="1" applyProtection="1"/>
    <xf numFmtId="0" fontId="5" fillId="2" borderId="1" xfId="0" applyFont="1" applyFill="1" applyBorder="1" applyProtection="1"/>
    <xf numFmtId="168" fontId="11" fillId="4" borderId="0" xfId="0" applyNumberFormat="1" applyFont="1" applyFill="1" applyBorder="1" applyAlignment="1" applyProtection="1">
      <alignment horizontal="left"/>
      <protection hidden="1"/>
    </xf>
    <xf numFmtId="0" fontId="11" fillId="5" borderId="0" xfId="8" applyFont="1" applyFill="1" applyBorder="1" applyProtection="1">
      <protection hidden="1"/>
    </xf>
    <xf numFmtId="0" fontId="11" fillId="5" borderId="21" xfId="8" applyFont="1" applyFill="1" applyBorder="1" applyProtection="1">
      <protection hidden="1"/>
    </xf>
    <xf numFmtId="0" fontId="3" fillId="2" borderId="1" xfId="0" applyFont="1" applyFill="1" applyBorder="1" applyProtection="1"/>
    <xf numFmtId="4" fontId="3" fillId="3" borderId="17" xfId="0" applyNumberFormat="1" applyFont="1" applyFill="1" applyBorder="1" applyProtection="1">
      <protection locked="0"/>
    </xf>
    <xf numFmtId="4" fontId="3" fillId="3" borderId="8" xfId="0" applyNumberFormat="1" applyFont="1" applyFill="1" applyBorder="1" applyProtection="1">
      <protection locked="0"/>
    </xf>
    <xf numFmtId="4" fontId="3" fillId="3" borderId="19" xfId="0" applyNumberFormat="1" applyFont="1" applyFill="1" applyBorder="1" applyProtection="1">
      <protection locked="0"/>
    </xf>
    <xf numFmtId="4" fontId="3" fillId="2" borderId="18" xfId="0" applyNumberFormat="1" applyFont="1" applyFill="1" applyBorder="1" applyProtection="1">
      <protection hidden="1"/>
    </xf>
    <xf numFmtId="0" fontId="2" fillId="2" borderId="4" xfId="0" applyFont="1" applyFill="1" applyBorder="1" applyAlignment="1" applyProtection="1">
      <alignment horizontal="center"/>
    </xf>
    <xf numFmtId="0" fontId="3" fillId="2" borderId="8" xfId="0" applyFont="1" applyFill="1" applyBorder="1" applyProtection="1">
      <protection hidden="1"/>
    </xf>
    <xf numFmtId="4" fontId="3" fillId="2" borderId="10" xfId="0" applyNumberFormat="1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locked="0"/>
    </xf>
    <xf numFmtId="4" fontId="3" fillId="2" borderId="4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</xf>
    <xf numFmtId="0" fontId="3" fillId="3" borderId="0" xfId="0" applyFont="1" applyFill="1" applyBorder="1" applyProtection="1">
      <protection locked="0"/>
    </xf>
    <xf numFmtId="0" fontId="3" fillId="3" borderId="18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protection locked="0"/>
    </xf>
    <xf numFmtId="0" fontId="11" fillId="0" borderId="0" xfId="0" applyFont="1" applyBorder="1" applyProtection="1">
      <protection locked="0"/>
    </xf>
    <xf numFmtId="0" fontId="11" fillId="5" borderId="23" xfId="0" applyFont="1" applyFill="1" applyBorder="1" applyProtection="1">
      <protection hidden="1"/>
    </xf>
    <xf numFmtId="3" fontId="11" fillId="5" borderId="0" xfId="0" applyNumberFormat="1" applyFont="1" applyFill="1" applyBorder="1" applyProtection="1">
      <protection hidden="1"/>
    </xf>
    <xf numFmtId="3" fontId="11" fillId="5" borderId="34" xfId="0" applyNumberFormat="1" applyFont="1" applyFill="1" applyBorder="1" applyProtection="1">
      <protection hidden="1"/>
    </xf>
    <xf numFmtId="0" fontId="10" fillId="9" borderId="19" xfId="0" applyFont="1" applyFill="1" applyBorder="1" applyProtection="1">
      <protection hidden="1"/>
    </xf>
    <xf numFmtId="0" fontId="11" fillId="9" borderId="18" xfId="0" applyFont="1" applyFill="1" applyBorder="1" applyProtection="1">
      <protection hidden="1"/>
    </xf>
    <xf numFmtId="0" fontId="11" fillId="5" borderId="19" xfId="0" applyFont="1" applyFill="1" applyBorder="1" applyProtection="1">
      <protection locked="0"/>
    </xf>
    <xf numFmtId="0" fontId="11" fillId="5" borderId="18" xfId="0" applyFont="1" applyFill="1" applyBorder="1" applyProtection="1">
      <protection locked="0"/>
    </xf>
    <xf numFmtId="0" fontId="4" fillId="0" borderId="5" xfId="0" applyFont="1" applyBorder="1" applyProtection="1"/>
    <xf numFmtId="0" fontId="2" fillId="2" borderId="0" xfId="0" applyFont="1" applyFill="1" applyBorder="1" applyAlignment="1" applyProtection="1">
      <alignment horizontal="left"/>
    </xf>
    <xf numFmtId="4" fontId="3" fillId="2" borderId="0" xfId="0" applyNumberFormat="1" applyFont="1" applyFill="1" applyBorder="1" applyProtection="1">
      <protection hidden="1"/>
    </xf>
    <xf numFmtId="0" fontId="2" fillId="2" borderId="19" xfId="0" applyFont="1" applyFill="1" applyBorder="1" applyAlignment="1" applyProtection="1">
      <alignment horizontal="left"/>
    </xf>
    <xf numFmtId="170" fontId="3" fillId="2" borderId="17" xfId="0" applyNumberFormat="1" applyFont="1" applyFill="1" applyBorder="1" applyProtection="1">
      <protection hidden="1"/>
    </xf>
    <xf numFmtId="18" fontId="2" fillId="2" borderId="17" xfId="0" applyNumberFormat="1" applyFont="1" applyFill="1" applyBorder="1" applyAlignment="1" applyProtection="1">
      <alignment horizontal="left"/>
    </xf>
    <xf numFmtId="0" fontId="5" fillId="2" borderId="4" xfId="0" applyFont="1" applyFill="1" applyBorder="1"/>
    <xf numFmtId="0" fontId="5" fillId="2" borderId="5" xfId="0" applyFont="1" applyFill="1" applyBorder="1"/>
    <xf numFmtId="0" fontId="2" fillId="2" borderId="8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3" fontId="11" fillId="5" borderId="0" xfId="0" applyNumberFormat="1" applyFont="1" applyFill="1" applyBorder="1" applyProtection="1">
      <protection locked="0"/>
    </xf>
    <xf numFmtId="9" fontId="4" fillId="0" borderId="0" xfId="0" applyNumberFormat="1" applyFont="1" applyBorder="1"/>
    <xf numFmtId="0" fontId="11" fillId="5" borderId="23" xfId="8" applyFont="1" applyFill="1" applyBorder="1" applyProtection="1">
      <protection hidden="1"/>
    </xf>
    <xf numFmtId="0" fontId="11" fillId="5" borderId="7" xfId="8" applyFont="1" applyFill="1" applyBorder="1" applyProtection="1">
      <protection hidden="1"/>
    </xf>
    <xf numFmtId="0" fontId="11" fillId="5" borderId="35" xfId="8" applyFont="1" applyFill="1" applyBorder="1" applyProtection="1">
      <protection hidden="1"/>
    </xf>
    <xf numFmtId="171" fontId="3" fillId="3" borderId="17" xfId="0" applyNumberFormat="1" applyFont="1" applyFill="1" applyBorder="1" applyProtection="1">
      <protection locked="0"/>
    </xf>
    <xf numFmtId="49" fontId="15" fillId="0" borderId="0" xfId="0" applyNumberFormat="1" applyFont="1" applyAlignment="1" applyProtection="1">
      <alignment horizontal="center"/>
      <protection hidden="1"/>
    </xf>
    <xf numFmtId="0" fontId="2" fillId="2" borderId="17" xfId="0" applyNumberFormat="1" applyFont="1" applyFill="1" applyBorder="1" applyProtection="1">
      <protection hidden="1"/>
    </xf>
    <xf numFmtId="168" fontId="2" fillId="2" borderId="10" xfId="0" applyNumberFormat="1" applyFont="1" applyFill="1" applyBorder="1" applyAlignment="1" applyProtection="1">
      <alignment horizontal="center"/>
      <protection hidden="1"/>
    </xf>
    <xf numFmtId="168" fontId="2" fillId="2" borderId="9" xfId="0" applyNumberFormat="1" applyFont="1" applyFill="1" applyBorder="1" applyAlignment="1" applyProtection="1">
      <alignment horizontal="center"/>
      <protection hidden="1"/>
    </xf>
    <xf numFmtId="171" fontId="3" fillId="2" borderId="17" xfId="0" applyNumberFormat="1" applyFont="1" applyFill="1" applyBorder="1" applyProtection="1">
      <protection hidden="1"/>
    </xf>
    <xf numFmtId="3" fontId="11" fillId="4" borderId="36" xfId="0" applyNumberFormat="1" applyFont="1" applyFill="1" applyBorder="1" applyProtection="1">
      <protection hidden="1"/>
    </xf>
    <xf numFmtId="3" fontId="11" fillId="4" borderId="37" xfId="0" applyNumberFormat="1" applyFont="1" applyFill="1" applyBorder="1" applyAlignment="1" applyProtection="1">
      <protection hidden="1"/>
    </xf>
    <xf numFmtId="3" fontId="11" fillId="4" borderId="34" xfId="0" applyNumberFormat="1" applyFont="1" applyFill="1" applyBorder="1" applyAlignment="1" applyProtection="1">
      <alignment horizontal="center"/>
      <protection hidden="1"/>
    </xf>
    <xf numFmtId="0" fontId="11" fillId="4" borderId="36" xfId="0" applyFont="1" applyFill="1" applyBorder="1" applyAlignment="1" applyProtection="1">
      <alignment horizontal="center"/>
      <protection hidden="1"/>
    </xf>
    <xf numFmtId="3" fontId="11" fillId="4" borderId="34" xfId="0" applyNumberFormat="1" applyFont="1" applyFill="1" applyBorder="1" applyProtection="1">
      <protection hidden="1"/>
    </xf>
    <xf numFmtId="1" fontId="3" fillId="2" borderId="10" xfId="0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4" fontId="3" fillId="2" borderId="3" xfId="0" applyNumberFormat="1" applyFont="1" applyFill="1" applyBorder="1" applyProtection="1">
      <protection hidden="1"/>
    </xf>
    <xf numFmtId="0" fontId="3" fillId="2" borderId="8" xfId="0" applyFont="1" applyFill="1" applyBorder="1" applyProtection="1"/>
    <xf numFmtId="0" fontId="2" fillId="2" borderId="10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wrapText="1"/>
    </xf>
    <xf numFmtId="3" fontId="3" fillId="2" borderId="10" xfId="0" applyNumberFormat="1" applyFont="1" applyFill="1" applyBorder="1" applyProtection="1">
      <protection hidden="1"/>
    </xf>
    <xf numFmtId="4" fontId="3" fillId="2" borderId="16" xfId="0" applyNumberFormat="1" applyFont="1" applyFill="1" applyBorder="1" applyProtection="1">
      <protection hidden="1"/>
    </xf>
    <xf numFmtId="3" fontId="3" fillId="2" borderId="9" xfId="0" applyNumberFormat="1" applyFont="1" applyFill="1" applyBorder="1" applyProtection="1"/>
    <xf numFmtId="0" fontId="3" fillId="2" borderId="0" xfId="0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Protection="1"/>
    <xf numFmtId="3" fontId="3" fillId="2" borderId="2" xfId="0" applyNumberFormat="1" applyFont="1" applyFill="1" applyBorder="1" applyProtection="1"/>
    <xf numFmtId="4" fontId="3" fillId="2" borderId="2" xfId="0" applyNumberFormat="1" applyFont="1" applyFill="1" applyBorder="1" applyProtection="1"/>
    <xf numFmtId="4" fontId="3" fillId="2" borderId="3" xfId="0" applyNumberFormat="1" applyFont="1" applyFill="1" applyBorder="1" applyProtection="1"/>
    <xf numFmtId="0" fontId="2" fillId="2" borderId="7" xfId="0" applyFont="1" applyFill="1" applyBorder="1" applyProtection="1"/>
    <xf numFmtId="0" fontId="2" fillId="2" borderId="6" xfId="0" applyFont="1" applyFill="1" applyBorder="1" applyProtection="1"/>
    <xf numFmtId="0" fontId="2" fillId="2" borderId="3" xfId="0" applyFont="1" applyFill="1" applyBorder="1" applyAlignment="1" applyProtection="1">
      <alignment wrapText="1"/>
    </xf>
    <xf numFmtId="0" fontId="2" fillId="2" borderId="16" xfId="0" applyFont="1" applyFill="1" applyBorder="1" applyProtection="1"/>
    <xf numFmtId="0" fontId="11" fillId="4" borderId="0" xfId="0" applyNumberFormat="1" applyFont="1" applyFill="1" applyBorder="1" applyAlignment="1" applyProtection="1">
      <alignment horizontal="center"/>
      <protection hidden="1"/>
    </xf>
    <xf numFmtId="0" fontId="11" fillId="4" borderId="34" xfId="0" applyNumberFormat="1" applyFont="1" applyFill="1" applyBorder="1" applyAlignment="1" applyProtection="1">
      <alignment horizontal="center"/>
      <protection hidden="1"/>
    </xf>
    <xf numFmtId="0" fontId="11" fillId="4" borderId="0" xfId="0" applyNumberFormat="1" applyFont="1" applyFill="1" applyBorder="1" applyAlignment="1" applyProtection="1">
      <alignment horizontal="left"/>
      <protection hidden="1"/>
    </xf>
    <xf numFmtId="0" fontId="14" fillId="0" borderId="0" xfId="0" applyFont="1" applyBorder="1" applyAlignment="1"/>
    <xf numFmtId="1" fontId="4" fillId="0" borderId="7" xfId="0" applyNumberFormat="1" applyFont="1" applyBorder="1"/>
    <xf numFmtId="4" fontId="16" fillId="0" borderId="0" xfId="0" applyNumberFormat="1" applyFont="1" applyProtection="1">
      <protection hidden="1"/>
    </xf>
    <xf numFmtId="0" fontId="3" fillId="2" borderId="7" xfId="0" applyFont="1" applyFill="1" applyBorder="1" applyProtection="1"/>
    <xf numFmtId="0" fontId="11" fillId="5" borderId="38" xfId="0" applyFont="1" applyFill="1" applyBorder="1" applyProtection="1">
      <protection hidden="1"/>
    </xf>
    <xf numFmtId="0" fontId="11" fillId="5" borderId="39" xfId="0" applyFont="1" applyFill="1" applyBorder="1" applyProtection="1">
      <protection hidden="1"/>
    </xf>
    <xf numFmtId="3" fontId="11" fillId="5" borderId="39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11" fillId="0" borderId="0" xfId="0" applyNumberFormat="1" applyFont="1" applyAlignment="1" applyProtection="1">
      <alignment horizontal="right"/>
      <protection hidden="1"/>
    </xf>
    <xf numFmtId="3" fontId="11" fillId="5" borderId="40" xfId="0" applyNumberFormat="1" applyFont="1" applyFill="1" applyBorder="1" applyProtection="1">
      <protection hidden="1"/>
    </xf>
    <xf numFmtId="169" fontId="4" fillId="0" borderId="0" xfId="0" applyNumberFormat="1" applyFont="1" applyBorder="1"/>
    <xf numFmtId="168" fontId="4" fillId="0" borderId="0" xfId="0" applyNumberFormat="1" applyFont="1" applyBorder="1"/>
    <xf numFmtId="167" fontId="3" fillId="2" borderId="0" xfId="0" applyNumberFormat="1" applyFont="1" applyFill="1" applyProtection="1"/>
    <xf numFmtId="0" fontId="5" fillId="2" borderId="0" xfId="0" quotePrefix="1" applyFont="1" applyFill="1" applyBorder="1" applyAlignment="1" applyProtection="1">
      <alignment horizontal="left"/>
      <protection hidden="1"/>
    </xf>
    <xf numFmtId="10" fontId="11" fillId="7" borderId="26" xfId="0" applyNumberFormat="1" applyFont="1" applyFill="1" applyBorder="1" applyProtection="1">
      <protection locked="0" hidden="1"/>
    </xf>
    <xf numFmtId="10" fontId="11" fillId="5" borderId="28" xfId="0" applyNumberFormat="1" applyFont="1" applyFill="1" applyBorder="1" applyProtection="1">
      <protection locked="0" hidden="1"/>
    </xf>
    <xf numFmtId="0" fontId="11" fillId="5" borderId="25" xfId="0" applyFont="1" applyFill="1" applyBorder="1" applyProtection="1">
      <protection hidden="1"/>
    </xf>
    <xf numFmtId="0" fontId="11" fillId="5" borderId="35" xfId="0" applyFont="1" applyFill="1" applyBorder="1" applyProtection="1">
      <protection hidden="1"/>
    </xf>
    <xf numFmtId="3" fontId="11" fillId="5" borderId="37" xfId="0" applyNumberFormat="1" applyFont="1" applyFill="1" applyBorder="1" applyProtection="1">
      <protection locked="0"/>
    </xf>
    <xf numFmtId="167" fontId="3" fillId="3" borderId="0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indent="1"/>
    </xf>
    <xf numFmtId="0" fontId="2" fillId="2" borderId="0" xfId="0" applyFont="1" applyFill="1" applyBorder="1" applyAlignment="1">
      <alignment horizontal="left" indent="1"/>
    </xf>
    <xf numFmtId="0" fontId="2" fillId="2" borderId="1" xfId="0" applyFont="1" applyFill="1" applyBorder="1" applyAlignment="1" applyProtection="1">
      <alignment horizontal="left" indent="1"/>
    </xf>
    <xf numFmtId="0" fontId="2" fillId="2" borderId="6" xfId="0" applyFont="1" applyFill="1" applyBorder="1" applyAlignment="1" applyProtection="1">
      <alignment horizontal="left" indent="1"/>
    </xf>
    <xf numFmtId="0" fontId="2" fillId="2" borderId="0" xfId="0" applyFont="1" applyFill="1" applyBorder="1" applyAlignment="1" applyProtection="1">
      <alignment horizontal="left" indent="2"/>
    </xf>
    <xf numFmtId="3" fontId="11" fillId="10" borderId="7" xfId="0" applyNumberFormat="1" applyFont="1" applyFill="1" applyBorder="1" applyProtection="1">
      <protection locked="0"/>
    </xf>
    <xf numFmtId="3" fontId="11" fillId="10" borderId="41" xfId="0" applyNumberFormat="1" applyFont="1" applyFill="1" applyBorder="1" applyProtection="1">
      <protection locked="0"/>
    </xf>
    <xf numFmtId="4" fontId="3" fillId="2" borderId="4" xfId="0" applyNumberFormat="1" applyFont="1" applyFill="1" applyBorder="1" applyAlignment="1" applyProtection="1">
      <alignment horizontal="center"/>
      <protection locked="0"/>
    </xf>
    <xf numFmtId="0" fontId="20" fillId="0" borderId="0" xfId="0" applyFont="1"/>
    <xf numFmtId="0" fontId="20" fillId="11" borderId="0" xfId="0" applyFont="1" applyFill="1"/>
    <xf numFmtId="0" fontId="19" fillId="2" borderId="0" xfId="0" applyFont="1" applyFill="1" applyProtection="1"/>
    <xf numFmtId="0" fontId="18" fillId="2" borderId="0" xfId="0" applyFont="1" applyFill="1" applyProtection="1"/>
    <xf numFmtId="0" fontId="18" fillId="2" borderId="0" xfId="0" applyFont="1" applyFill="1" applyAlignment="1" applyProtection="1">
      <alignment horizontal="right"/>
    </xf>
    <xf numFmtId="0" fontId="18" fillId="2" borderId="0" xfId="0" applyFont="1" applyFill="1" applyBorder="1" applyProtection="1"/>
    <xf numFmtId="0" fontId="43" fillId="2" borderId="0" xfId="0" applyFont="1" applyFill="1" applyBorder="1" applyAlignment="1" applyProtection="1">
      <alignment horizontal="left" indent="1"/>
      <protection locked="0"/>
    </xf>
    <xf numFmtId="0" fontId="19" fillId="2" borderId="0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/>
      <protection hidden="1"/>
    </xf>
    <xf numFmtId="0" fontId="19" fillId="2" borderId="0" xfId="0" applyFont="1" applyFill="1" applyBorder="1" applyProtection="1"/>
    <xf numFmtId="168" fontId="19" fillId="2" borderId="0" xfId="0" applyNumberFormat="1" applyFont="1" applyFill="1" applyBorder="1" applyAlignment="1" applyProtection="1">
      <alignment horizontal="center"/>
      <protection hidden="1"/>
    </xf>
    <xf numFmtId="4" fontId="18" fillId="2" borderId="17" xfId="0" applyNumberFormat="1" applyFont="1" applyFill="1" applyBorder="1" applyProtection="1">
      <protection hidden="1"/>
    </xf>
    <xf numFmtId="4" fontId="18" fillId="2" borderId="18" xfId="0" applyNumberFormat="1" applyFont="1" applyFill="1" applyBorder="1" applyProtection="1">
      <protection hidden="1"/>
    </xf>
    <xf numFmtId="0" fontId="19" fillId="2" borderId="0" xfId="0" applyNumberFormat="1" applyFont="1" applyFill="1" applyBorder="1" applyProtection="1">
      <protection hidden="1"/>
    </xf>
    <xf numFmtId="0" fontId="19" fillId="2" borderId="5" xfId="0" applyNumberFormat="1" applyFont="1" applyFill="1" applyBorder="1" applyProtection="1">
      <protection hidden="1"/>
    </xf>
    <xf numFmtId="4" fontId="18" fillId="3" borderId="17" xfId="0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/>
    </xf>
    <xf numFmtId="0" fontId="19" fillId="2" borderId="5" xfId="0" applyFont="1" applyFill="1" applyBorder="1" applyProtection="1"/>
    <xf numFmtId="0" fontId="18" fillId="2" borderId="0" xfId="0" applyFont="1" applyFill="1" applyProtection="1">
      <protection hidden="1"/>
    </xf>
    <xf numFmtId="0" fontId="19" fillId="2" borderId="0" xfId="0" applyFont="1" applyFill="1" applyBorder="1" applyAlignment="1" applyProtection="1">
      <alignment wrapText="1"/>
    </xf>
    <xf numFmtId="0" fontId="19" fillId="2" borderId="5" xfId="0" applyFont="1" applyFill="1" applyBorder="1" applyAlignment="1" applyProtection="1">
      <alignment wrapText="1"/>
    </xf>
    <xf numFmtId="4" fontId="18" fillId="2" borderId="0" xfId="0" applyNumberFormat="1" applyFont="1" applyFill="1" applyBorder="1" applyProtection="1">
      <protection hidden="1"/>
    </xf>
    <xf numFmtId="0" fontId="18" fillId="3" borderId="17" xfId="0" applyFont="1" applyFill="1" applyBorder="1" applyAlignment="1" applyProtection="1">
      <alignment horizontal="center"/>
      <protection locked="0"/>
    </xf>
    <xf numFmtId="0" fontId="18" fillId="3" borderId="17" xfId="0" applyFont="1" applyFill="1" applyBorder="1" applyAlignment="1" applyProtection="1">
      <alignment horizontal="right" indent="1"/>
      <protection locked="0"/>
    </xf>
    <xf numFmtId="0" fontId="18" fillId="2" borderId="0" xfId="0" applyFont="1" applyFill="1" applyAlignment="1" applyProtection="1"/>
    <xf numFmtId="0" fontId="18" fillId="2" borderId="2" xfId="0" applyFont="1" applyFill="1" applyBorder="1" applyAlignment="1" applyProtection="1">
      <alignment horizontal="left" indent="1"/>
    </xf>
    <xf numFmtId="0" fontId="21" fillId="2" borderId="0" xfId="0" applyFont="1" applyFill="1" applyBorder="1" applyProtection="1"/>
    <xf numFmtId="0" fontId="18" fillId="2" borderId="0" xfId="0" applyNumberFormat="1" applyFont="1" applyFill="1" applyBorder="1" applyProtection="1">
      <protection hidden="1"/>
    </xf>
    <xf numFmtId="0" fontId="19" fillId="2" borderId="2" xfId="0" applyFont="1" applyFill="1" applyBorder="1" applyAlignment="1" applyProtection="1">
      <alignment horizontal="left"/>
    </xf>
    <xf numFmtId="0" fontId="18" fillId="2" borderId="0" xfId="0" quotePrefix="1" applyFont="1" applyFill="1" applyBorder="1" applyProtection="1"/>
    <xf numFmtId="0" fontId="18" fillId="2" borderId="0" xfId="0" applyFont="1" applyFill="1" applyBorder="1" applyAlignment="1" applyProtection="1">
      <alignment horizontal="center"/>
    </xf>
    <xf numFmtId="0" fontId="18" fillId="2" borderId="5" xfId="0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9" fillId="2" borderId="7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 indent="1"/>
    </xf>
    <xf numFmtId="168" fontId="19" fillId="2" borderId="7" xfId="0" applyNumberFormat="1" applyFont="1" applyFill="1" applyBorder="1" applyAlignment="1" applyProtection="1">
      <alignment horizontal="center"/>
      <protection hidden="1"/>
    </xf>
    <xf numFmtId="0" fontId="19" fillId="2" borderId="0" xfId="0" applyFont="1" applyFill="1" applyBorder="1" applyAlignment="1" applyProtection="1">
      <alignment horizontal="center" vertical="justify"/>
    </xf>
    <xf numFmtId="168" fontId="19" fillId="2" borderId="0" xfId="0" applyNumberFormat="1" applyFont="1" applyFill="1" applyBorder="1" applyAlignment="1" applyProtection="1">
      <alignment horizontal="center" vertical="justify"/>
      <protection hidden="1"/>
    </xf>
    <xf numFmtId="10" fontId="18" fillId="2" borderId="4" xfId="0" applyNumberFormat="1" applyFont="1" applyFill="1" applyBorder="1" applyAlignment="1" applyProtection="1">
      <alignment horizontal="left"/>
      <protection hidden="1"/>
    </xf>
    <xf numFmtId="0" fontId="18" fillId="2" borderId="0" xfId="0" applyFont="1" applyFill="1" applyBorder="1" applyAlignment="1" applyProtection="1">
      <alignment horizontal="left"/>
    </xf>
    <xf numFmtId="0" fontId="44" fillId="2" borderId="0" xfId="0" applyFont="1" applyFill="1" applyAlignment="1" applyProtection="1">
      <alignment horizontal="center"/>
    </xf>
    <xf numFmtId="0" fontId="43" fillId="2" borderId="0" xfId="0" applyFont="1" applyFill="1" applyBorder="1" applyAlignment="1" applyProtection="1">
      <alignment horizontal="center" vertical="top"/>
    </xf>
    <xf numFmtId="4" fontId="18" fillId="2" borderId="0" xfId="0" applyNumberFormat="1" applyFont="1" applyFill="1" applyBorder="1" applyProtection="1"/>
    <xf numFmtId="3" fontId="18" fillId="2" borderId="5" xfId="0" applyNumberFormat="1" applyFont="1" applyFill="1" applyBorder="1" applyAlignment="1" applyProtection="1">
      <alignment horizontal="center"/>
      <protection hidden="1"/>
    </xf>
    <xf numFmtId="4" fontId="19" fillId="2" borderId="17" xfId="0" applyNumberFormat="1" applyFont="1" applyFill="1" applyBorder="1" applyProtection="1">
      <protection hidden="1"/>
    </xf>
    <xf numFmtId="4" fontId="19" fillId="2" borderId="18" xfId="0" applyNumberFormat="1" applyFont="1" applyFill="1" applyBorder="1" applyProtection="1">
      <protection hidden="1"/>
    </xf>
    <xf numFmtId="0" fontId="18" fillId="2" borderId="0" xfId="0" applyFont="1" applyFill="1" applyAlignment="1" applyProtection="1">
      <alignment horizontal="right"/>
      <protection hidden="1"/>
    </xf>
    <xf numFmtId="0" fontId="18" fillId="2" borderId="0" xfId="0" applyFont="1" applyFill="1" applyAlignment="1" applyProtection="1">
      <alignment horizontal="left" indent="1"/>
      <protection hidden="1"/>
    </xf>
    <xf numFmtId="171" fontId="23" fillId="2" borderId="0" xfId="0" applyNumberFormat="1" applyFont="1" applyFill="1" applyBorder="1" applyAlignment="1" applyProtection="1">
      <alignment horizontal="center" vertical="center"/>
      <protection hidden="1"/>
    </xf>
    <xf numFmtId="171" fontId="18" fillId="2" borderId="0" xfId="0" applyNumberFormat="1" applyFont="1" applyFill="1" applyBorder="1" applyAlignment="1" applyProtection="1">
      <alignment horizontal="left" vertical="center"/>
      <protection hidden="1"/>
    </xf>
    <xf numFmtId="0" fontId="19" fillId="2" borderId="0" xfId="0" applyFont="1" applyFill="1" applyBorder="1" applyAlignment="1" applyProtection="1">
      <alignment horizontal="left" vertical="justify" indent="4"/>
    </xf>
    <xf numFmtId="168" fontId="19" fillId="2" borderId="0" xfId="0" applyNumberFormat="1" applyFont="1" applyFill="1" applyBorder="1" applyAlignment="1" applyProtection="1">
      <alignment horizontal="left" vertical="justify" indent="4"/>
      <protection hidden="1"/>
    </xf>
    <xf numFmtId="0" fontId="18" fillId="2" borderId="0" xfId="0" applyFont="1" applyFill="1" applyAlignment="1" applyProtection="1">
      <alignment vertical="center"/>
    </xf>
    <xf numFmtId="0" fontId="18" fillId="2" borderId="1" xfId="0" applyFont="1" applyFill="1" applyBorder="1" applyAlignment="1" applyProtection="1">
      <alignment vertical="center"/>
    </xf>
    <xf numFmtId="170" fontId="18" fillId="2" borderId="0" xfId="0" applyNumberFormat="1" applyFont="1" applyFill="1" applyBorder="1" applyAlignment="1" applyProtection="1">
      <protection hidden="1"/>
    </xf>
    <xf numFmtId="1" fontId="18" fillId="2" borderId="2" xfId="0" applyNumberFormat="1" applyFont="1" applyFill="1" applyBorder="1" applyAlignment="1" applyProtection="1">
      <alignment horizontal="left" vertical="center"/>
    </xf>
    <xf numFmtId="171" fontId="24" fillId="2" borderId="0" xfId="0" applyNumberFormat="1" applyFont="1" applyFill="1" applyBorder="1" applyAlignment="1" applyProtection="1">
      <alignment vertical="top" wrapText="1"/>
      <protection hidden="1"/>
    </xf>
    <xf numFmtId="0" fontId="19" fillId="2" borderId="0" xfId="0" applyFont="1" applyFill="1" applyBorder="1" applyAlignment="1" applyProtection="1">
      <alignment horizontal="left" indent="1"/>
    </xf>
    <xf numFmtId="0" fontId="19" fillId="2" borderId="0" xfId="0" applyNumberFormat="1" applyFont="1" applyFill="1" applyBorder="1" applyAlignment="1" applyProtection="1">
      <alignment horizontal="left" indent="1"/>
      <protection hidden="1"/>
    </xf>
    <xf numFmtId="4" fontId="19" fillId="2" borderId="17" xfId="0" applyNumberFormat="1" applyFont="1" applyFill="1" applyBorder="1" applyProtection="1"/>
    <xf numFmtId="3" fontId="19" fillId="2" borderId="17" xfId="0" applyNumberFormat="1" applyFont="1" applyFill="1" applyBorder="1" applyAlignment="1" applyProtection="1">
      <alignment horizontal="center"/>
      <protection hidden="1"/>
    </xf>
    <xf numFmtId="3" fontId="18" fillId="2" borderId="0" xfId="0" applyNumberFormat="1" applyFont="1" applyFill="1" applyBorder="1" applyAlignment="1" applyProtection="1">
      <alignment horizontal="center"/>
      <protection hidden="1"/>
    </xf>
    <xf numFmtId="4" fontId="19" fillId="2" borderId="0" xfId="0" applyNumberFormat="1" applyFont="1" applyFill="1" applyBorder="1" applyProtection="1">
      <protection hidden="1"/>
    </xf>
    <xf numFmtId="0" fontId="45" fillId="2" borderId="0" xfId="0" applyFont="1" applyFill="1" applyProtection="1"/>
    <xf numFmtId="0" fontId="44" fillId="2" borderId="0" xfId="0" applyFont="1" applyFill="1" applyAlignment="1" applyProtection="1">
      <alignment horizontal="center"/>
    </xf>
    <xf numFmtId="0" fontId="43" fillId="2" borderId="0" xfId="0" applyFont="1" applyFill="1" applyBorder="1" applyAlignment="1" applyProtection="1">
      <alignment horizontal="center"/>
    </xf>
    <xf numFmtId="0" fontId="23" fillId="2" borderId="0" xfId="0" applyFont="1" applyFill="1" applyProtection="1"/>
    <xf numFmtId="0" fontId="23" fillId="2" borderId="0" xfId="0" applyFont="1" applyFill="1" applyAlignment="1" applyProtection="1">
      <alignment horizontal="left" vertical="top"/>
    </xf>
    <xf numFmtId="0" fontId="23" fillId="2" borderId="0" xfId="0" applyFont="1" applyFill="1" applyAlignment="1" applyProtection="1">
      <alignment vertical="center"/>
    </xf>
    <xf numFmtId="0" fontId="23" fillId="2" borderId="0" xfId="0" applyFont="1" applyFill="1" applyAlignment="1" applyProtection="1">
      <alignment vertical="top"/>
    </xf>
    <xf numFmtId="0" fontId="22" fillId="2" borderId="0" xfId="0" applyFont="1" applyFill="1" applyAlignment="1" applyProtection="1"/>
    <xf numFmtId="171" fontId="19" fillId="2" borderId="0" xfId="0" applyNumberFormat="1" applyFont="1" applyFill="1" applyBorder="1" applyAlignment="1" applyProtection="1">
      <alignment horizontal="left" vertical="center" wrapText="1"/>
      <protection hidden="1"/>
    </xf>
    <xf numFmtId="171" fontId="18" fillId="2" borderId="0" xfId="0" applyNumberFormat="1" applyFont="1" applyFill="1" applyBorder="1" applyAlignment="1" applyProtection="1">
      <alignment horizontal="left" vertical="top" wrapText="1"/>
      <protection hidden="1"/>
    </xf>
    <xf numFmtId="0" fontId="43" fillId="2" borderId="0" xfId="0" applyFont="1" applyFill="1" applyBorder="1" applyAlignment="1" applyProtection="1"/>
    <xf numFmtId="0" fontId="46" fillId="2" borderId="0" xfId="0" applyFont="1" applyFill="1" applyBorder="1" applyAlignment="1" applyProtection="1"/>
    <xf numFmtId="0" fontId="18" fillId="2" borderId="1" xfId="0" applyFont="1" applyFill="1" applyBorder="1" applyProtection="1"/>
    <xf numFmtId="0" fontId="18" fillId="2" borderId="2" xfId="0" applyFont="1" applyFill="1" applyBorder="1" applyProtection="1"/>
    <xf numFmtId="0" fontId="18" fillId="2" borderId="3" xfId="0" applyFont="1" applyFill="1" applyBorder="1" applyProtection="1"/>
    <xf numFmtId="0" fontId="18" fillId="2" borderId="4" xfId="0" applyFont="1" applyFill="1" applyBorder="1" applyProtection="1"/>
    <xf numFmtId="0" fontId="46" fillId="2" borderId="0" xfId="0" applyFont="1" applyFill="1" applyBorder="1" applyProtection="1"/>
    <xf numFmtId="171" fontId="19" fillId="2" borderId="5" xfId="0" applyNumberFormat="1" applyFont="1" applyFill="1" applyBorder="1" applyAlignment="1" applyProtection="1">
      <alignment horizontal="left" vertical="center" wrapText="1"/>
      <protection hidden="1"/>
    </xf>
    <xf numFmtId="0" fontId="43" fillId="2" borderId="4" xfId="0" applyFont="1" applyFill="1" applyBorder="1" applyAlignment="1" applyProtection="1">
      <alignment horizontal="center"/>
    </xf>
    <xf numFmtId="171" fontId="24" fillId="2" borderId="5" xfId="0" applyNumberFormat="1" applyFont="1" applyFill="1" applyBorder="1" applyAlignment="1" applyProtection="1">
      <alignment vertical="top" wrapText="1"/>
      <protection hidden="1"/>
    </xf>
    <xf numFmtId="0" fontId="18" fillId="2" borderId="5" xfId="0" applyFont="1" applyFill="1" applyBorder="1" applyProtection="1"/>
    <xf numFmtId="0" fontId="43" fillId="2" borderId="4" xfId="0" applyFont="1" applyFill="1" applyBorder="1" applyAlignment="1" applyProtection="1">
      <alignment horizontal="center" vertical="top"/>
    </xf>
    <xf numFmtId="0" fontId="43" fillId="2" borderId="4" xfId="0" applyFont="1" applyFill="1" applyBorder="1" applyAlignment="1" applyProtection="1"/>
    <xf numFmtId="0" fontId="46" fillId="2" borderId="6" xfId="0" applyFont="1" applyFill="1" applyBorder="1" applyAlignment="1" applyProtection="1"/>
    <xf numFmtId="0" fontId="46" fillId="2" borderId="16" xfId="0" applyFont="1" applyFill="1" applyBorder="1" applyAlignment="1" applyProtection="1"/>
    <xf numFmtId="0" fontId="24" fillId="2" borderId="0" xfId="0" applyFont="1" applyFill="1" applyBorder="1" applyAlignment="1" applyProtection="1">
      <alignment vertical="top" wrapText="1"/>
    </xf>
    <xf numFmtId="0" fontId="24" fillId="2" borderId="5" xfId="0" applyFont="1" applyFill="1" applyBorder="1" applyAlignment="1" applyProtection="1">
      <alignment vertical="top" wrapText="1"/>
    </xf>
    <xf numFmtId="171" fontId="18" fillId="2" borderId="5" xfId="0" applyNumberFormat="1" applyFont="1" applyFill="1" applyBorder="1" applyAlignment="1" applyProtection="1">
      <alignment horizontal="left" vertical="center" wrapText="1"/>
      <protection hidden="1"/>
    </xf>
    <xf numFmtId="0" fontId="18" fillId="2" borderId="0" xfId="0" applyFont="1" applyFill="1" applyBorder="1" applyAlignment="1" applyProtection="1"/>
    <xf numFmtId="171" fontId="24" fillId="2" borderId="0" xfId="0" applyNumberFormat="1" applyFont="1" applyFill="1" applyBorder="1" applyAlignment="1" applyProtection="1">
      <alignment vertical="top"/>
      <protection hidden="1"/>
    </xf>
    <xf numFmtId="171" fontId="19" fillId="2" borderId="0" xfId="0" applyNumberFormat="1" applyFont="1" applyFill="1" applyBorder="1" applyAlignment="1" applyProtection="1">
      <alignment horizontal="left" vertical="center"/>
      <protection hidden="1"/>
    </xf>
    <xf numFmtId="0" fontId="19" fillId="2" borderId="1" xfId="0" applyFont="1" applyFill="1" applyBorder="1" applyAlignment="1" applyProtection="1">
      <alignment horizontal="left"/>
    </xf>
    <xf numFmtId="0" fontId="19" fillId="2" borderId="4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vertical="center"/>
    </xf>
    <xf numFmtId="0" fontId="18" fillId="2" borderId="5" xfId="0" applyFont="1" applyFill="1" applyBorder="1" applyAlignment="1" applyProtection="1">
      <alignment vertical="center"/>
    </xf>
    <xf numFmtId="0" fontId="18" fillId="2" borderId="6" xfId="0" applyFont="1" applyFill="1" applyBorder="1" applyProtection="1"/>
    <xf numFmtId="0" fontId="18" fillId="2" borderId="7" xfId="0" applyFont="1" applyFill="1" applyBorder="1" applyProtection="1"/>
    <xf numFmtId="0" fontId="18" fillId="2" borderId="7" xfId="0" applyFont="1" applyFill="1" applyBorder="1" applyAlignment="1" applyProtection="1">
      <alignment horizontal="center"/>
    </xf>
    <xf numFmtId="0" fontId="18" fillId="2" borderId="16" xfId="0" applyFont="1" applyFill="1" applyBorder="1" applyProtection="1"/>
    <xf numFmtId="0" fontId="24" fillId="2" borderId="0" xfId="0" applyFont="1" applyFill="1" applyBorder="1" applyProtection="1"/>
    <xf numFmtId="4" fontId="25" fillId="2" borderId="0" xfId="0" applyNumberFormat="1" applyFont="1" applyFill="1" applyBorder="1" applyProtection="1"/>
    <xf numFmtId="0" fontId="25" fillId="2" borderId="0" xfId="0" applyFont="1" applyFill="1" applyBorder="1" applyProtection="1"/>
    <xf numFmtId="4" fontId="25" fillId="2" borderId="0" xfId="1" applyNumberFormat="1" applyFont="1" applyFill="1" applyBorder="1" applyAlignment="1" applyProtection="1">
      <alignment horizontal="right"/>
    </xf>
    <xf numFmtId="4" fontId="24" fillId="2" borderId="0" xfId="0" applyNumberFormat="1" applyFont="1" applyFill="1" applyBorder="1" applyProtection="1"/>
    <xf numFmtId="171" fontId="18" fillId="2" borderId="5" xfId="0" applyNumberFormat="1" applyFont="1" applyFill="1" applyBorder="1" applyAlignment="1" applyProtection="1">
      <alignment horizontal="left" vertical="top" wrapText="1"/>
      <protection hidden="1"/>
    </xf>
    <xf numFmtId="171" fontId="18" fillId="2" borderId="5" xfId="0" applyNumberFormat="1" applyFont="1" applyFill="1" applyBorder="1" applyAlignment="1" applyProtection="1">
      <alignment vertical="center" wrapText="1"/>
      <protection hidden="1"/>
    </xf>
    <xf numFmtId="171" fontId="18" fillId="2" borderId="5" xfId="0" applyNumberFormat="1" applyFont="1" applyFill="1" applyBorder="1" applyAlignment="1" applyProtection="1">
      <alignment vertical="top" wrapText="1"/>
      <protection hidden="1"/>
    </xf>
    <xf numFmtId="171" fontId="24" fillId="2" borderId="0" xfId="0" applyNumberFormat="1" applyFont="1" applyFill="1" applyBorder="1" applyAlignment="1" applyProtection="1">
      <alignment horizontal="left" vertical="top" wrapText="1"/>
      <protection hidden="1"/>
    </xf>
    <xf numFmtId="0" fontId="18" fillId="2" borderId="2" xfId="0" applyFont="1" applyFill="1" applyBorder="1" applyAlignment="1" applyProtection="1">
      <alignment horizontal="left"/>
    </xf>
    <xf numFmtId="0" fontId="18" fillId="2" borderId="20" xfId="0" applyFont="1" applyFill="1" applyBorder="1" applyAlignment="1" applyProtection="1">
      <alignment horizontal="left"/>
    </xf>
    <xf numFmtId="0" fontId="18" fillId="2" borderId="20" xfId="0" applyFont="1" applyFill="1" applyBorder="1" applyAlignment="1" applyProtection="1"/>
    <xf numFmtId="0" fontId="20" fillId="11" borderId="0" xfId="0" applyFont="1" applyFill="1" applyBorder="1"/>
    <xf numFmtId="0" fontId="18" fillId="2" borderId="20" xfId="0" applyNumberFormat="1" applyFont="1" applyFill="1" applyBorder="1" applyProtection="1">
      <protection hidden="1"/>
    </xf>
    <xf numFmtId="4" fontId="18" fillId="2" borderId="16" xfId="0" applyNumberFormat="1" applyFont="1" applyFill="1" applyBorder="1" applyProtection="1"/>
    <xf numFmtId="4" fontId="18" fillId="2" borderId="5" xfId="0" applyNumberFormat="1" applyFont="1" applyFill="1" applyBorder="1" applyProtection="1"/>
    <xf numFmtId="0" fontId="19" fillId="2" borderId="1" xfId="0" applyFont="1" applyFill="1" applyBorder="1" applyAlignment="1" applyProtection="1">
      <alignment horizontal="center"/>
    </xf>
    <xf numFmtId="0" fontId="19" fillId="2" borderId="4" xfId="0" applyFont="1" applyFill="1" applyBorder="1" applyAlignment="1" applyProtection="1">
      <alignment horizontal="center"/>
    </xf>
    <xf numFmtId="0" fontId="18" fillId="2" borderId="1" xfId="0" applyFont="1" applyFill="1" applyBorder="1" applyAlignment="1" applyProtection="1">
      <alignment horizontal="center"/>
    </xf>
    <xf numFmtId="0" fontId="18" fillId="2" borderId="4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vertical="center"/>
    </xf>
    <xf numFmtId="10" fontId="18" fillId="2" borderId="0" xfId="0" applyNumberFormat="1" applyFont="1" applyFill="1" applyBorder="1" applyAlignment="1" applyProtection="1">
      <alignment horizontal="left"/>
      <protection hidden="1"/>
    </xf>
    <xf numFmtId="3" fontId="19" fillId="2" borderId="9" xfId="0" applyNumberFormat="1" applyFont="1" applyFill="1" applyBorder="1" applyAlignment="1" applyProtection="1">
      <alignment horizontal="center"/>
      <protection hidden="1"/>
    </xf>
    <xf numFmtId="4" fontId="18" fillId="2" borderId="1" xfId="0" applyNumberFormat="1" applyFont="1" applyFill="1" applyBorder="1" applyAlignment="1" applyProtection="1">
      <alignment horizontal="center"/>
    </xf>
    <xf numFmtId="168" fontId="19" fillId="2" borderId="0" xfId="0" applyNumberFormat="1" applyFont="1" applyFill="1" applyBorder="1" applyAlignment="1" applyProtection="1">
      <alignment horizontal="left" vertical="justify" indent="2"/>
      <protection hidden="1"/>
    </xf>
    <xf numFmtId="0" fontId="44" fillId="2" borderId="0" xfId="0" applyFont="1" applyFill="1" applyAlignment="1" applyProtection="1"/>
    <xf numFmtId="0" fontId="18" fillId="2" borderId="2" xfId="0" applyFont="1" applyFill="1" applyBorder="1" applyAlignment="1" applyProtection="1"/>
    <xf numFmtId="0" fontId="24" fillId="3" borderId="17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left" indent="1"/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18" fillId="2" borderId="0" xfId="0" applyNumberFormat="1" applyFont="1" applyFill="1" applyProtection="1"/>
    <xf numFmtId="0" fontId="43" fillId="2" borderId="0" xfId="0" applyNumberFormat="1" applyFont="1" applyFill="1" applyProtection="1"/>
    <xf numFmtId="0" fontId="19" fillId="2" borderId="0" xfId="0" applyNumberFormat="1" applyFont="1" applyFill="1" applyAlignment="1" applyProtection="1">
      <alignment vertical="top"/>
    </xf>
    <xf numFmtId="0" fontId="19" fillId="2" borderId="0" xfId="0" applyNumberFormat="1" applyFont="1" applyFill="1" applyAlignment="1" applyProtection="1"/>
    <xf numFmtId="0" fontId="19" fillId="2" borderId="0" xfId="0" applyNumberFormat="1" applyFont="1" applyFill="1" applyAlignment="1" applyProtection="1">
      <alignment horizontal="left" vertical="top"/>
    </xf>
    <xf numFmtId="0" fontId="18" fillId="2" borderId="0" xfId="0" applyNumberFormat="1" applyFont="1" applyFill="1" applyAlignment="1" applyProtection="1">
      <alignment vertical="top" wrapText="1"/>
    </xf>
    <xf numFmtId="0" fontId="18" fillId="2" borderId="0" xfId="0" quotePrefix="1" applyNumberFormat="1" applyFont="1" applyFill="1" applyAlignment="1" applyProtection="1">
      <alignment vertical="top" wrapText="1"/>
    </xf>
    <xf numFmtId="0" fontId="19" fillId="2" borderId="0" xfId="0" applyNumberFormat="1" applyFont="1" applyFill="1" applyAlignment="1" applyProtection="1">
      <alignment vertical="top" wrapText="1"/>
    </xf>
    <xf numFmtId="0" fontId="18" fillId="2" borderId="0" xfId="0" applyNumberFormat="1" applyFont="1" applyFill="1" applyAlignment="1" applyProtection="1">
      <alignment horizontal="left" vertical="top"/>
    </xf>
    <xf numFmtId="0" fontId="19" fillId="2" borderId="0" xfId="0" applyNumberFormat="1" applyFont="1" applyFill="1" applyProtection="1"/>
    <xf numFmtId="0" fontId="18" fillId="2" borderId="0" xfId="0" applyNumberFormat="1" applyFont="1" applyFill="1" applyAlignment="1" applyProtection="1"/>
    <xf numFmtId="0" fontId="18" fillId="2" borderId="0" xfId="0" applyNumberFormat="1" applyFont="1" applyFill="1" applyAlignment="1" applyProtection="1">
      <alignment vertical="top"/>
    </xf>
    <xf numFmtId="0" fontId="18" fillId="2" borderId="0" xfId="0" applyNumberFormat="1" applyFont="1" applyFill="1" applyAlignment="1" applyProtection="1">
      <alignment vertical="center"/>
    </xf>
    <xf numFmtId="0" fontId="27" fillId="2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center" vertical="top"/>
    </xf>
    <xf numFmtId="0" fontId="22" fillId="2" borderId="0" xfId="0" applyNumberFormat="1" applyFont="1" applyFill="1" applyAlignment="1" applyProtection="1">
      <alignment horizontal="right" vertical="center"/>
    </xf>
    <xf numFmtId="10" fontId="47" fillId="2" borderId="0" xfId="0" applyNumberFormat="1" applyFont="1" applyFill="1" applyBorder="1" applyAlignment="1" applyProtection="1">
      <alignment horizontal="left"/>
      <protection hidden="1"/>
    </xf>
    <xf numFmtId="0" fontId="22" fillId="2" borderId="0" xfId="0" applyNumberFormat="1" applyFont="1" applyFill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right"/>
    </xf>
    <xf numFmtId="0" fontId="43" fillId="2" borderId="0" xfId="0" applyFont="1" applyFill="1" applyBorder="1" applyAlignment="1" applyProtection="1">
      <alignment vertical="top"/>
      <protection hidden="1"/>
    </xf>
    <xf numFmtId="0" fontId="43" fillId="2" borderId="0" xfId="0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  <protection hidden="1"/>
    </xf>
    <xf numFmtId="0" fontId="17" fillId="11" borderId="0" xfId="0" applyFont="1" applyFill="1" applyBorder="1"/>
    <xf numFmtId="0" fontId="31" fillId="11" borderId="0" xfId="0" applyFont="1" applyFill="1"/>
    <xf numFmtId="3" fontId="17" fillId="11" borderId="0" xfId="1" applyNumberFormat="1" applyFont="1" applyFill="1" applyBorder="1" applyAlignment="1">
      <alignment horizontal="center"/>
    </xf>
    <xf numFmtId="4" fontId="17" fillId="11" borderId="0" xfId="0" applyNumberFormat="1" applyFont="1" applyFill="1" applyBorder="1"/>
    <xf numFmtId="0" fontId="32" fillId="11" borderId="0" xfId="0" applyFont="1" applyFill="1" applyBorder="1"/>
    <xf numFmtId="37" fontId="17" fillId="11" borderId="0" xfId="6" applyNumberFormat="1" applyFont="1" applyFill="1" applyBorder="1" applyProtection="1"/>
    <xf numFmtId="174" fontId="17" fillId="11" borderId="0" xfId="0" applyNumberFormat="1" applyFont="1" applyFill="1" applyBorder="1"/>
    <xf numFmtId="0" fontId="31" fillId="0" borderId="0" xfId="0" applyFont="1"/>
    <xf numFmtId="0" fontId="43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8" fillId="2" borderId="0" xfId="0" applyFont="1" applyFill="1" applyAlignment="1" applyProtection="1">
      <alignment horizontal="left" vertical="top"/>
    </xf>
    <xf numFmtId="0" fontId="18" fillId="2" borderId="0" xfId="0" applyFont="1" applyFill="1" applyAlignment="1" applyProtection="1">
      <alignment horizontal="left"/>
    </xf>
    <xf numFmtId="0" fontId="18" fillId="2" borderId="0" xfId="0" applyFont="1" applyFill="1" applyAlignment="1" applyProtection="1">
      <alignment horizontal="left" vertical="center"/>
    </xf>
    <xf numFmtId="0" fontId="46" fillId="2" borderId="0" xfId="0" applyFont="1" applyFill="1" applyAlignment="1" applyProtection="1"/>
    <xf numFmtId="0" fontId="46" fillId="2" borderId="0" xfId="0" applyFont="1" applyFill="1" applyAlignment="1" applyProtection="1">
      <alignment horizontal="center"/>
    </xf>
    <xf numFmtId="0" fontId="22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/>
    </xf>
    <xf numFmtId="0" fontId="46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wrapText="1"/>
    </xf>
    <xf numFmtId="0" fontId="19" fillId="2" borderId="0" xfId="0" applyFont="1" applyFill="1" applyBorder="1" applyAlignment="1" applyProtection="1"/>
    <xf numFmtId="0" fontId="47" fillId="2" borderId="0" xfId="0" applyNumberFormat="1" applyFont="1" applyFill="1" applyBorder="1" applyProtection="1">
      <protection hidden="1"/>
    </xf>
    <xf numFmtId="0" fontId="45" fillId="2" borderId="0" xfId="0" applyFont="1" applyFill="1" applyBorder="1" applyProtection="1"/>
    <xf numFmtId="171" fontId="34" fillId="2" borderId="0" xfId="0" applyNumberFormat="1" applyFont="1" applyFill="1" applyBorder="1" applyAlignment="1" applyProtection="1">
      <alignment horizontal="left" vertical="center"/>
      <protection hidden="1"/>
    </xf>
    <xf numFmtId="0" fontId="29" fillId="2" borderId="0" xfId="0" applyFont="1" applyFill="1" applyAlignment="1" applyProtection="1">
      <alignment horizontal="right"/>
      <protection hidden="1"/>
    </xf>
    <xf numFmtId="175" fontId="17" fillId="11" borderId="0" xfId="1" applyNumberFormat="1" applyFont="1" applyFill="1" applyBorder="1"/>
    <xf numFmtId="174" fontId="17" fillId="11" borderId="0" xfId="1" applyNumberFormat="1" applyFont="1" applyFill="1" applyBorder="1"/>
    <xf numFmtId="174" fontId="17" fillId="11" borderId="0" xfId="1" applyNumberFormat="1" applyFont="1" applyFill="1" applyBorder="1" applyAlignment="1">
      <alignment horizontal="center"/>
    </xf>
    <xf numFmtId="0" fontId="48" fillId="2" borderId="20" xfId="0" applyNumberFormat="1" applyFont="1" applyFill="1" applyBorder="1" applyProtection="1">
      <protection hidden="1"/>
    </xf>
    <xf numFmtId="0" fontId="49" fillId="2" borderId="0" xfId="0" applyFont="1" applyFill="1" applyBorder="1" applyAlignment="1" applyProtection="1">
      <alignment horizontal="left"/>
    </xf>
    <xf numFmtId="0" fontId="49" fillId="2" borderId="0" xfId="0" applyFont="1" applyFill="1" applyBorder="1" applyProtection="1"/>
    <xf numFmtId="0" fontId="49" fillId="2" borderId="0" xfId="0" applyFont="1" applyFill="1" applyProtection="1"/>
    <xf numFmtId="0" fontId="47" fillId="2" borderId="0" xfId="0" applyFont="1" applyFill="1" applyBorder="1" applyAlignment="1" applyProtection="1">
      <alignment horizontal="left"/>
    </xf>
    <xf numFmtId="0" fontId="47" fillId="2" borderId="0" xfId="0" applyFont="1" applyFill="1" applyBorder="1" applyProtection="1"/>
    <xf numFmtId="0" fontId="44" fillId="2" borderId="0" xfId="0" applyFont="1" applyFill="1" applyAlignment="1" applyProtection="1">
      <alignment horizontal="left"/>
    </xf>
    <xf numFmtId="0" fontId="22" fillId="2" borderId="0" xfId="0" applyFont="1" applyFill="1" applyAlignment="1" applyProtection="1">
      <alignment vertical="center"/>
    </xf>
    <xf numFmtId="0" fontId="43" fillId="2" borderId="0" xfId="0" applyFont="1" applyFill="1" applyAlignment="1" applyProtection="1"/>
    <xf numFmtId="3" fontId="17" fillId="11" borderId="0" xfId="2" applyNumberFormat="1" applyFont="1" applyFill="1" applyBorder="1" applyAlignment="1">
      <alignment horizontal="center"/>
    </xf>
    <xf numFmtId="3" fontId="41" fillId="11" borderId="0" xfId="5" applyNumberFormat="1" applyFill="1" applyBorder="1" applyAlignment="1">
      <alignment horizontal="center"/>
    </xf>
    <xf numFmtId="3" fontId="20" fillId="11" borderId="0" xfId="0" applyNumberFormat="1" applyFont="1" applyFill="1"/>
    <xf numFmtId="3" fontId="41" fillId="0" borderId="0" xfId="7" applyNumberFormat="1" applyBorder="1" applyAlignment="1">
      <alignment horizontal="center"/>
    </xf>
    <xf numFmtId="3" fontId="41" fillId="0" borderId="16" xfId="7" applyNumberFormat="1" applyBorder="1" applyAlignment="1">
      <alignment horizontal="center"/>
    </xf>
    <xf numFmtId="3" fontId="41" fillId="0" borderId="2" xfId="7" applyNumberFormat="1" applyBorder="1" applyAlignment="1">
      <alignment horizontal="center"/>
    </xf>
    <xf numFmtId="3" fontId="36" fillId="0" borderId="0" xfId="7" applyNumberFormat="1" applyFont="1" applyBorder="1" applyAlignment="1">
      <alignment horizontal="center"/>
    </xf>
    <xf numFmtId="3" fontId="36" fillId="0" borderId="16" xfId="7" applyNumberFormat="1" applyFont="1" applyBorder="1" applyAlignment="1">
      <alignment horizontal="center"/>
    </xf>
    <xf numFmtId="3" fontId="36" fillId="0" borderId="13" xfId="7" applyNumberFormat="1" applyFont="1" applyBorder="1" applyAlignment="1">
      <alignment horizontal="center"/>
    </xf>
    <xf numFmtId="3" fontId="41" fillId="12" borderId="0" xfId="7" applyNumberFormat="1" applyFill="1" applyBorder="1" applyAlignment="1">
      <alignment horizontal="center"/>
    </xf>
    <xf numFmtId="3" fontId="41" fillId="12" borderId="5" xfId="7" applyNumberFormat="1" applyFill="1" applyBorder="1" applyAlignment="1">
      <alignment horizontal="center"/>
    </xf>
    <xf numFmtId="3" fontId="41" fillId="12" borderId="16" xfId="7" applyNumberFormat="1" applyFill="1" applyBorder="1" applyAlignment="1">
      <alignment horizontal="center"/>
    </xf>
    <xf numFmtId="3" fontId="50" fillId="12" borderId="5" xfId="7" applyNumberFormat="1" applyFont="1" applyFill="1" applyBorder="1" applyAlignment="1">
      <alignment horizontal="center"/>
    </xf>
    <xf numFmtId="3" fontId="50" fillId="12" borderId="16" xfId="7" applyNumberFormat="1" applyFont="1" applyFill="1" applyBorder="1" applyAlignment="1">
      <alignment horizontal="center"/>
    </xf>
    <xf numFmtId="3" fontId="50" fillId="12" borderId="13" xfId="7" applyNumberFormat="1" applyFont="1" applyFill="1" applyBorder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right"/>
    </xf>
    <xf numFmtId="0" fontId="38" fillId="0" borderId="0" xfId="0" applyFont="1"/>
    <xf numFmtId="14" fontId="38" fillId="13" borderId="0" xfId="0" applyNumberFormat="1" applyFont="1" applyFill="1" applyAlignment="1">
      <alignment horizontal="right"/>
    </xf>
    <xf numFmtId="0" fontId="38" fillId="13" borderId="0" xfId="0" applyFont="1" applyFill="1"/>
    <xf numFmtId="14" fontId="38" fillId="0" borderId="0" xfId="0" applyNumberFormat="1" applyFont="1" applyAlignment="1">
      <alignment horizontal="right"/>
    </xf>
    <xf numFmtId="165" fontId="38" fillId="13" borderId="42" xfId="0" applyNumberFormat="1" applyFont="1" applyFill="1" applyBorder="1" applyAlignment="1">
      <alignment horizontal="right" wrapText="1"/>
    </xf>
    <xf numFmtId="168" fontId="38" fillId="0" borderId="0" xfId="0" applyNumberFormat="1" applyFont="1" applyAlignment="1">
      <alignment horizontal="right"/>
    </xf>
    <xf numFmtId="165" fontId="38" fillId="0" borderId="0" xfId="0" applyNumberFormat="1" applyFont="1" applyAlignment="1">
      <alignment horizontal="right"/>
    </xf>
    <xf numFmtId="165" fontId="38" fillId="13" borderId="0" xfId="0" applyNumberFormat="1" applyFont="1" applyFill="1" applyAlignment="1">
      <alignment horizontal="right"/>
    </xf>
    <xf numFmtId="172" fontId="38" fillId="0" borderId="0" xfId="9" applyNumberFormat="1" applyFont="1" applyBorder="1"/>
    <xf numFmtId="0" fontId="38" fillId="0" borderId="0" xfId="0" applyFont="1" applyBorder="1"/>
    <xf numFmtId="165" fontId="38" fillId="0" borderId="0" xfId="0" applyNumberFormat="1" applyFont="1"/>
    <xf numFmtId="0" fontId="38" fillId="0" borderId="0" xfId="0" applyFont="1" applyAlignment="1">
      <alignment wrapText="1"/>
    </xf>
    <xf numFmtId="4" fontId="38" fillId="0" borderId="0" xfId="0" applyNumberFormat="1" applyFont="1"/>
    <xf numFmtId="3" fontId="17" fillId="12" borderId="0" xfId="3" applyNumberFormat="1" applyFont="1" applyFill="1" applyBorder="1" applyAlignment="1">
      <alignment horizontal="right" indent="1"/>
    </xf>
    <xf numFmtId="3" fontId="17" fillId="12" borderId="7" xfId="3" applyNumberFormat="1" applyFont="1" applyFill="1" applyBorder="1" applyAlignment="1">
      <alignment horizontal="right" indent="1"/>
    </xf>
    <xf numFmtId="3" fontId="36" fillId="12" borderId="0" xfId="7" applyNumberFormat="1" applyFont="1" applyFill="1" applyBorder="1" applyAlignment="1">
      <alignment horizontal="center"/>
    </xf>
    <xf numFmtId="3" fontId="36" fillId="12" borderId="43" xfId="7" applyNumberFormat="1" applyFont="1" applyFill="1" applyBorder="1" applyAlignment="1">
      <alignment horizontal="center"/>
    </xf>
    <xf numFmtId="3" fontId="41" fillId="12" borderId="0" xfId="7" applyNumberFormat="1" applyFont="1" applyFill="1" applyBorder="1" applyAlignment="1">
      <alignment horizontal="center"/>
    </xf>
    <xf numFmtId="3" fontId="41" fillId="12" borderId="7" xfId="7" applyNumberFormat="1" applyFont="1" applyFill="1" applyBorder="1" applyAlignment="1">
      <alignment horizontal="center"/>
    </xf>
    <xf numFmtId="0" fontId="32" fillId="2" borderId="0" xfId="0" applyFont="1" applyFill="1"/>
    <xf numFmtId="0" fontId="17" fillId="2" borderId="0" xfId="0" applyFont="1" applyFill="1"/>
    <xf numFmtId="0" fontId="17" fillId="2" borderId="0" xfId="0" applyFont="1" applyFill="1" applyProtection="1">
      <protection hidden="1"/>
    </xf>
    <xf numFmtId="0" fontId="17" fillId="2" borderId="17" xfId="0" applyFont="1" applyFill="1" applyBorder="1"/>
    <xf numFmtId="0" fontId="17" fillId="2" borderId="17" xfId="0" applyFont="1" applyFill="1" applyBorder="1" applyAlignment="1">
      <alignment horizontal="right"/>
    </xf>
    <xf numFmtId="1" fontId="17" fillId="3" borderId="17" xfId="0" applyNumberFormat="1" applyFont="1" applyFill="1" applyBorder="1" applyProtection="1">
      <protection locked="0"/>
    </xf>
    <xf numFmtId="0" fontId="32" fillId="2" borderId="4" xfId="0" applyFont="1" applyFill="1" applyBorder="1" applyAlignment="1" applyProtection="1">
      <alignment horizontal="left" indent="1"/>
    </xf>
    <xf numFmtId="0" fontId="17" fillId="2" borderId="0" xfId="0" applyFont="1" applyFill="1" applyProtection="1"/>
    <xf numFmtId="0" fontId="32" fillId="2" borderId="1" xfId="0" applyFont="1" applyFill="1" applyBorder="1" applyProtection="1"/>
    <xf numFmtId="0" fontId="17" fillId="2" borderId="17" xfId="0" applyFont="1" applyFill="1" applyBorder="1" applyProtection="1">
      <protection hidden="1"/>
    </xf>
    <xf numFmtId="4" fontId="17" fillId="2" borderId="17" xfId="0" applyNumberFormat="1" applyFont="1" applyFill="1" applyBorder="1" applyProtection="1">
      <protection hidden="1"/>
    </xf>
    <xf numFmtId="4" fontId="17" fillId="3" borderId="17" xfId="0" applyNumberFormat="1" applyFont="1" applyFill="1" applyBorder="1" applyProtection="1">
      <protection locked="0"/>
    </xf>
    <xf numFmtId="173" fontId="17" fillId="2" borderId="17" xfId="0" applyNumberFormat="1" applyFont="1" applyFill="1" applyBorder="1" applyAlignment="1">
      <alignment horizontal="right"/>
    </xf>
    <xf numFmtId="0" fontId="32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172" fontId="17" fillId="2" borderId="0" xfId="0" applyNumberFormat="1" applyFont="1" applyFill="1" applyAlignment="1">
      <alignment horizontal="right"/>
    </xf>
    <xf numFmtId="14" fontId="17" fillId="2" borderId="0" xfId="0" applyNumberFormat="1" applyFont="1" applyFill="1" applyAlignment="1">
      <alignment horizontal="right"/>
    </xf>
    <xf numFmtId="14" fontId="17" fillId="2" borderId="0" xfId="0" applyNumberFormat="1" applyFont="1" applyFill="1"/>
    <xf numFmtId="172" fontId="17" fillId="2" borderId="0" xfId="0" applyNumberFormat="1" applyFont="1" applyFill="1"/>
    <xf numFmtId="167" fontId="17" fillId="2" borderId="0" xfId="0" applyNumberFormat="1" applyFont="1" applyFill="1"/>
    <xf numFmtId="0" fontId="33" fillId="2" borderId="0" xfId="0" applyFont="1" applyFill="1" applyAlignment="1" applyProtection="1">
      <alignment vertical="center"/>
    </xf>
    <xf numFmtId="0" fontId="34" fillId="14" borderId="0" xfId="0" applyFont="1" applyFill="1" applyBorder="1" applyAlignment="1">
      <alignment horizontal="center"/>
    </xf>
    <xf numFmtId="0" fontId="34" fillId="14" borderId="0" xfId="0" applyFont="1" applyFill="1" applyBorder="1"/>
    <xf numFmtId="0" fontId="51" fillId="14" borderId="0" xfId="0" applyFont="1" applyFill="1" applyBorder="1"/>
    <xf numFmtId="0" fontId="34" fillId="14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29" fillId="0" borderId="0" xfId="0" applyFont="1" applyFill="1" applyBorder="1" applyAlignment="1">
      <alignment horizontal="left"/>
    </xf>
    <xf numFmtId="10" fontId="52" fillId="0" borderId="0" xfId="0" applyNumberFormat="1" applyFont="1" applyFill="1" applyBorder="1" applyAlignment="1">
      <alignment horizontal="left"/>
    </xf>
    <xf numFmtId="10" fontId="29" fillId="0" borderId="0" xfId="0" applyNumberFormat="1" applyFont="1" applyFill="1" applyBorder="1" applyAlignment="1">
      <alignment horizontal="left"/>
    </xf>
    <xf numFmtId="10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center" vertical="top"/>
    </xf>
    <xf numFmtId="10" fontId="29" fillId="0" borderId="0" xfId="0" applyNumberFormat="1" applyFont="1" applyFill="1" applyBorder="1" applyAlignment="1">
      <alignment horizontal="center" vertical="top"/>
    </xf>
    <xf numFmtId="10" fontId="29" fillId="0" borderId="0" xfId="0" applyNumberFormat="1" applyFont="1" applyFill="1" applyBorder="1"/>
    <xf numFmtId="0" fontId="39" fillId="0" borderId="0" xfId="0" applyFont="1" applyFill="1" applyBorder="1"/>
    <xf numFmtId="9" fontId="29" fillId="0" borderId="0" xfId="0" applyNumberFormat="1" applyFont="1" applyFill="1" applyBorder="1" applyAlignment="1">
      <alignment horizontal="center"/>
    </xf>
    <xf numFmtId="10" fontId="29" fillId="0" borderId="0" xfId="1" applyNumberFormat="1" applyFont="1" applyFill="1" applyBorder="1" applyAlignment="1">
      <alignment horizontal="center"/>
    </xf>
    <xf numFmtId="0" fontId="52" fillId="0" borderId="0" xfId="0" applyFont="1" applyFill="1" applyBorder="1" applyAlignment="1">
      <alignment horizontal="left"/>
    </xf>
    <xf numFmtId="0" fontId="30" fillId="0" borderId="0" xfId="0" applyFont="1" applyFill="1"/>
    <xf numFmtId="171" fontId="34" fillId="2" borderId="4" xfId="0" applyNumberFormat="1" applyFont="1" applyFill="1" applyBorder="1" applyAlignment="1" applyProtection="1">
      <alignment horizontal="left" vertical="center"/>
      <protection hidden="1"/>
    </xf>
    <xf numFmtId="0" fontId="18" fillId="2" borderId="2" xfId="11" applyFont="1" applyFill="1" applyBorder="1" applyAlignment="1" applyProtection="1">
      <alignment vertical="top"/>
    </xf>
    <xf numFmtId="0" fontId="18" fillId="2" borderId="2" xfId="11" applyFont="1" applyFill="1" applyBorder="1" applyAlignment="1" applyProtection="1">
      <alignment horizontal="left" vertical="top" indent="1"/>
    </xf>
    <xf numFmtId="0" fontId="18" fillId="12" borderId="20" xfId="11" applyFont="1" applyFill="1" applyBorder="1" applyAlignment="1" applyProtection="1">
      <alignment vertical="center"/>
      <protection locked="0"/>
    </xf>
    <xf numFmtId="0" fontId="18" fillId="12" borderId="19" xfId="11" applyFont="1" applyFill="1" applyBorder="1" applyAlignment="1" applyProtection="1">
      <alignment horizontal="left" vertical="center" indent="1"/>
      <protection locked="0"/>
    </xf>
    <xf numFmtId="0" fontId="18" fillId="12" borderId="20" xfId="11" applyFont="1" applyFill="1" applyBorder="1" applyAlignment="1" applyProtection="1">
      <alignment horizontal="left" vertical="center" indent="1"/>
      <protection locked="0"/>
    </xf>
    <xf numFmtId="0" fontId="18" fillId="12" borderId="19" xfId="11" applyFont="1" applyFill="1" applyBorder="1" applyAlignment="1" applyProtection="1">
      <alignment horizontal="left" vertical="center" indent="1"/>
      <protection locked="0"/>
    </xf>
    <xf numFmtId="0" fontId="18" fillId="12" borderId="20" xfId="11" applyFont="1" applyFill="1" applyBorder="1" applyAlignment="1" applyProtection="1">
      <alignment horizontal="left" vertical="center" indent="1"/>
      <protection locked="0"/>
    </xf>
    <xf numFmtId="0" fontId="18" fillId="2" borderId="2" xfId="11" applyFont="1" applyFill="1" applyBorder="1" applyAlignment="1" applyProtection="1">
      <alignment horizontal="left" vertical="top" indent="1"/>
    </xf>
    <xf numFmtId="171" fontId="3" fillId="3" borderId="20" xfId="0" applyNumberFormat="1" applyFont="1" applyFill="1" applyBorder="1" applyAlignment="1" applyProtection="1">
      <protection locked="0"/>
    </xf>
    <xf numFmtId="171" fontId="3" fillId="3" borderId="18" xfId="0" applyNumberFormat="1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3" borderId="20" xfId="0" applyNumberFormat="1" applyFont="1" applyFill="1" applyBorder="1" applyAlignment="1" applyProtection="1">
      <protection locked="0"/>
    </xf>
    <xf numFmtId="49" fontId="3" fillId="3" borderId="18" xfId="0" applyNumberFormat="1" applyFont="1" applyFill="1" applyBorder="1" applyAlignment="1" applyProtection="1">
      <protection locked="0"/>
    </xf>
    <xf numFmtId="10" fontId="2" fillId="2" borderId="19" xfId="0" applyNumberFormat="1" applyFont="1" applyFill="1" applyBorder="1" applyAlignment="1" applyProtection="1">
      <alignment horizontal="left"/>
      <protection hidden="1"/>
    </xf>
    <xf numFmtId="10" fontId="0" fillId="0" borderId="20" xfId="0" applyNumberFormat="1" applyBorder="1" applyAlignment="1" applyProtection="1">
      <alignment horizontal="left"/>
      <protection hidden="1"/>
    </xf>
    <xf numFmtId="0" fontId="3" fillId="3" borderId="20" xfId="0" applyFont="1" applyFill="1" applyBorder="1" applyAlignment="1" applyProtection="1">
      <alignment horizontal="left"/>
      <protection locked="0"/>
    </xf>
    <xf numFmtId="0" fontId="0" fillId="0" borderId="18" xfId="0" applyBorder="1" applyAlignment="1">
      <alignment horizontal="left"/>
    </xf>
    <xf numFmtId="171" fontId="3" fillId="3" borderId="19" xfId="0" applyNumberFormat="1" applyFont="1" applyFill="1" applyBorder="1" applyAlignment="1" applyProtection="1">
      <protection locked="0"/>
    </xf>
    <xf numFmtId="171" fontId="3" fillId="2" borderId="20" xfId="0" applyNumberFormat="1" applyFont="1" applyFill="1" applyBorder="1" applyAlignment="1" applyProtection="1">
      <protection hidden="1"/>
    </xf>
    <xf numFmtId="171" fontId="3" fillId="2" borderId="18" xfId="0" applyNumberFormat="1" applyFont="1" applyFill="1" applyBorder="1" applyAlignment="1" applyProtection="1">
      <protection hidden="1"/>
    </xf>
    <xf numFmtId="0" fontId="3" fillId="3" borderId="19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2" borderId="19" xfId="0" applyFont="1" applyFill="1" applyBorder="1" applyAlignment="1" applyProtection="1">
      <alignment horizontal="left"/>
    </xf>
    <xf numFmtId="0" fontId="0" fillId="0" borderId="20" xfId="0" applyBorder="1" applyAlignment="1"/>
    <xf numFmtId="0" fontId="0" fillId="0" borderId="18" xfId="0" applyBorder="1" applyAlignment="1"/>
    <xf numFmtId="0" fontId="2" fillId="2" borderId="0" xfId="0" applyFont="1" applyFill="1" applyAlignment="1" applyProtection="1">
      <alignment horizontal="center"/>
    </xf>
    <xf numFmtId="0" fontId="3" fillId="3" borderId="17" xfId="0" applyFont="1" applyFill="1" applyBorder="1" applyAlignment="1" applyProtection="1">
      <protection locked="0"/>
    </xf>
    <xf numFmtId="49" fontId="3" fillId="3" borderId="17" xfId="0" applyNumberFormat="1" applyFont="1" applyFill="1" applyBorder="1" applyAlignment="1" applyProtection="1">
      <protection locked="0"/>
    </xf>
    <xf numFmtId="171" fontId="3" fillId="2" borderId="17" xfId="0" applyNumberFormat="1" applyFont="1" applyFill="1" applyBorder="1" applyAlignment="1" applyProtection="1">
      <protection hidden="1"/>
    </xf>
    <xf numFmtId="0" fontId="0" fillId="0" borderId="20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20" xfId="0" applyFont="1" applyFill="1" applyBorder="1" applyAlignment="1" applyProtection="1">
      <protection locked="0"/>
    </xf>
    <xf numFmtId="0" fontId="33" fillId="2" borderId="0" xfId="0" applyFont="1" applyFill="1" applyAlignment="1" applyProtection="1">
      <alignment horizontal="right" vertical="center"/>
    </xf>
    <xf numFmtId="0" fontId="55" fillId="2" borderId="0" xfId="0" applyNumberFormat="1" applyFont="1" applyFill="1" applyBorder="1" applyAlignment="1" applyProtection="1">
      <alignment horizontal="center" vertical="top" wrapText="1"/>
    </xf>
    <xf numFmtId="0" fontId="19" fillId="2" borderId="0" xfId="0" applyNumberFormat="1" applyFont="1" applyFill="1" applyAlignment="1" applyProtection="1">
      <alignment horizontal="left" vertical="top" wrapText="1"/>
    </xf>
    <xf numFmtId="0" fontId="55" fillId="2" borderId="2" xfId="0" applyNumberFormat="1" applyFont="1" applyFill="1" applyBorder="1" applyAlignment="1" applyProtection="1">
      <alignment horizontal="center" vertical="top" wrapText="1"/>
    </xf>
    <xf numFmtId="0" fontId="54" fillId="2" borderId="4" xfId="0" applyNumberFormat="1" applyFont="1" applyFill="1" applyBorder="1" applyAlignment="1" applyProtection="1">
      <alignment horizontal="center" vertical="center" wrapText="1"/>
    </xf>
    <xf numFmtId="0" fontId="54" fillId="2" borderId="0" xfId="0" applyNumberFormat="1" applyFont="1" applyFill="1" applyBorder="1" applyAlignment="1" applyProtection="1">
      <alignment horizontal="center" vertical="center" wrapText="1"/>
    </xf>
    <xf numFmtId="0" fontId="54" fillId="2" borderId="5" xfId="0" applyNumberFormat="1" applyFont="1" applyFill="1" applyBorder="1" applyAlignment="1" applyProtection="1">
      <alignment horizontal="center" vertical="center" wrapText="1"/>
    </xf>
    <xf numFmtId="0" fontId="54" fillId="2" borderId="1" xfId="0" applyNumberFormat="1" applyFont="1" applyFill="1" applyBorder="1" applyAlignment="1" applyProtection="1">
      <alignment horizontal="center" wrapText="1"/>
    </xf>
    <xf numFmtId="0" fontId="54" fillId="2" borderId="2" xfId="0" applyNumberFormat="1" applyFont="1" applyFill="1" applyBorder="1" applyAlignment="1" applyProtection="1">
      <alignment horizontal="center" wrapText="1"/>
    </xf>
    <xf numFmtId="0" fontId="54" fillId="2" borderId="3" xfId="0" applyNumberFormat="1" applyFont="1" applyFill="1" applyBorder="1" applyAlignment="1" applyProtection="1">
      <alignment horizontal="center" wrapText="1"/>
    </xf>
    <xf numFmtId="0" fontId="54" fillId="2" borderId="4" xfId="0" applyNumberFormat="1" applyFont="1" applyFill="1" applyBorder="1" applyAlignment="1" applyProtection="1">
      <alignment horizontal="center" wrapText="1"/>
    </xf>
    <xf numFmtId="0" fontId="54" fillId="2" borderId="0" xfId="0" applyNumberFormat="1" applyFont="1" applyFill="1" applyBorder="1" applyAlignment="1" applyProtection="1">
      <alignment horizontal="center" wrapText="1"/>
    </xf>
    <xf numFmtId="0" fontId="54" fillId="2" borderId="5" xfId="0" applyNumberFormat="1" applyFont="1" applyFill="1" applyBorder="1" applyAlignment="1" applyProtection="1">
      <alignment horizontal="center" wrapText="1"/>
    </xf>
    <xf numFmtId="0" fontId="18" fillId="2" borderId="0" xfId="0" applyNumberFormat="1" applyFont="1" applyFill="1" applyAlignment="1" applyProtection="1">
      <alignment horizontal="left" vertical="top" wrapText="1"/>
    </xf>
    <xf numFmtId="14" fontId="18" fillId="3" borderId="19" xfId="0" applyNumberFormat="1" applyFont="1" applyFill="1" applyBorder="1" applyAlignment="1" applyProtection="1">
      <alignment horizontal="center"/>
      <protection locked="0"/>
    </xf>
    <xf numFmtId="14" fontId="18" fillId="3" borderId="20" xfId="0" applyNumberFormat="1" applyFont="1" applyFill="1" applyBorder="1" applyAlignment="1" applyProtection="1">
      <alignment horizontal="center"/>
      <protection locked="0"/>
    </xf>
    <xf numFmtId="14" fontId="18" fillId="3" borderId="18" xfId="0" applyNumberFormat="1" applyFont="1" applyFill="1" applyBorder="1" applyAlignment="1" applyProtection="1">
      <alignment horizontal="center"/>
      <protection locked="0"/>
    </xf>
    <xf numFmtId="49" fontId="18" fillId="3" borderId="19" xfId="0" applyNumberFormat="1" applyFont="1" applyFill="1" applyBorder="1" applyAlignment="1" applyProtection="1">
      <alignment horizontal="left" indent="1"/>
      <protection locked="0"/>
    </xf>
    <xf numFmtId="49" fontId="18" fillId="3" borderId="20" xfId="0" applyNumberFormat="1" applyFont="1" applyFill="1" applyBorder="1" applyAlignment="1" applyProtection="1">
      <alignment horizontal="left" indent="1"/>
      <protection locked="0"/>
    </xf>
    <xf numFmtId="49" fontId="18" fillId="3" borderId="18" xfId="0" applyNumberFormat="1" applyFont="1" applyFill="1" applyBorder="1" applyAlignment="1" applyProtection="1">
      <alignment horizontal="left" indent="1"/>
      <protection locked="0"/>
    </xf>
    <xf numFmtId="0" fontId="43" fillId="2" borderId="0" xfId="0" applyNumberFormat="1" applyFont="1" applyFill="1" applyAlignment="1" applyProtection="1">
      <alignment horizontal="left" vertical="top" wrapText="1"/>
    </xf>
    <xf numFmtId="171" fontId="29" fillId="2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3" borderId="19" xfId="0" applyFont="1" applyFill="1" applyBorder="1" applyAlignment="1" applyProtection="1">
      <alignment horizontal="left" indent="1"/>
      <protection locked="0"/>
    </xf>
    <xf numFmtId="0" fontId="18" fillId="3" borderId="20" xfId="0" applyFont="1" applyFill="1" applyBorder="1" applyAlignment="1" applyProtection="1">
      <alignment horizontal="left" indent="1"/>
      <protection locked="0"/>
    </xf>
    <xf numFmtId="0" fontId="18" fillId="3" borderId="18" xfId="0" applyFont="1" applyFill="1" applyBorder="1" applyAlignment="1" applyProtection="1">
      <alignment horizontal="left" indent="1"/>
      <protection locked="0"/>
    </xf>
    <xf numFmtId="0" fontId="24" fillId="2" borderId="0" xfId="0" applyNumberFormat="1" applyFont="1" applyFill="1" applyAlignment="1" applyProtection="1">
      <alignment horizontal="left" vertical="top"/>
    </xf>
    <xf numFmtId="0" fontId="19" fillId="2" borderId="0" xfId="0" applyNumberFormat="1" applyFont="1" applyFill="1" applyAlignment="1" applyProtection="1">
      <alignment horizontal="left" vertical="top"/>
    </xf>
    <xf numFmtId="0" fontId="45" fillId="2" borderId="0" xfId="0" applyFont="1" applyFill="1" applyBorder="1" applyAlignment="1" applyProtection="1">
      <alignment horizontal="center" vertical="center" wrapText="1"/>
    </xf>
    <xf numFmtId="0" fontId="45" fillId="2" borderId="7" xfId="0" applyFont="1" applyFill="1" applyBorder="1" applyAlignment="1" applyProtection="1">
      <alignment horizontal="center" vertical="center" wrapText="1"/>
    </xf>
    <xf numFmtId="171" fontId="18" fillId="2" borderId="0" xfId="0" applyNumberFormat="1" applyFont="1" applyFill="1" applyBorder="1" applyAlignment="1" applyProtection="1">
      <alignment horizontal="left" vertical="center" wrapText="1"/>
      <protection hidden="1"/>
    </xf>
    <xf numFmtId="0" fontId="19" fillId="2" borderId="0" xfId="0" applyFont="1" applyFill="1" applyBorder="1" applyAlignment="1" applyProtection="1">
      <alignment horizontal="left"/>
    </xf>
    <xf numFmtId="0" fontId="45" fillId="2" borderId="2" xfId="0" applyFont="1" applyFill="1" applyBorder="1" applyAlignment="1" applyProtection="1">
      <alignment horizontal="left" vertical="top"/>
    </xf>
    <xf numFmtId="0" fontId="45" fillId="2" borderId="7" xfId="0" applyFont="1" applyFill="1" applyBorder="1" applyAlignment="1" applyProtection="1">
      <alignment horizontal="left" vertical="top"/>
    </xf>
    <xf numFmtId="0" fontId="18" fillId="2" borderId="2" xfId="11" applyFont="1" applyFill="1" applyBorder="1" applyAlignment="1" applyProtection="1">
      <alignment horizontal="left" vertical="top" indent="1"/>
    </xf>
    <xf numFmtId="0" fontId="18" fillId="12" borderId="19" xfId="11" applyFont="1" applyFill="1" applyBorder="1" applyAlignment="1" applyProtection="1">
      <alignment horizontal="left" vertical="center" indent="1"/>
      <protection locked="0"/>
    </xf>
    <xf numFmtId="0" fontId="18" fillId="12" borderId="20" xfId="11" applyFont="1" applyFill="1" applyBorder="1" applyAlignment="1" applyProtection="1">
      <alignment horizontal="left" vertical="center" indent="1"/>
      <protection locked="0"/>
    </xf>
    <xf numFmtId="4" fontId="18" fillId="12" borderId="20" xfId="11" applyNumberFormat="1" applyFont="1" applyFill="1" applyBorder="1" applyAlignment="1" applyProtection="1">
      <alignment horizontal="center" vertical="center"/>
      <protection locked="0"/>
    </xf>
    <xf numFmtId="4" fontId="18" fillId="12" borderId="18" xfId="11" applyNumberFormat="1" applyFont="1" applyFill="1" applyBorder="1" applyAlignment="1" applyProtection="1">
      <alignment horizontal="center" vertical="center"/>
      <protection locked="0"/>
    </xf>
    <xf numFmtId="0" fontId="18" fillId="12" borderId="19" xfId="11" applyFont="1" applyFill="1" applyBorder="1" applyAlignment="1" applyProtection="1">
      <alignment horizontal="left"/>
      <protection locked="0"/>
    </xf>
    <xf numFmtId="0" fontId="18" fillId="12" borderId="20" xfId="11" applyFont="1" applyFill="1" applyBorder="1" applyAlignment="1" applyProtection="1">
      <alignment horizontal="left"/>
      <protection locked="0"/>
    </xf>
    <xf numFmtId="0" fontId="18" fillId="12" borderId="18" xfId="11" applyFont="1" applyFill="1" applyBorder="1" applyAlignment="1" applyProtection="1">
      <alignment horizontal="left"/>
      <protection locked="0"/>
    </xf>
    <xf numFmtId="49" fontId="19" fillId="2" borderId="0" xfId="0" applyNumberFormat="1" applyFont="1" applyFill="1" applyAlignment="1" applyProtection="1">
      <alignment horizontal="center"/>
      <protection locked="0"/>
    </xf>
    <xf numFmtId="0" fontId="19" fillId="2" borderId="0" xfId="0" applyNumberFormat="1" applyFont="1" applyFill="1" applyBorder="1" applyAlignment="1" applyProtection="1">
      <alignment horizontal="left"/>
      <protection hidden="1"/>
    </xf>
    <xf numFmtId="0" fontId="43" fillId="2" borderId="0" xfId="0" applyFont="1" applyFill="1" applyBorder="1" applyAlignment="1" applyProtection="1">
      <alignment horizontal="left" vertical="top"/>
      <protection hidden="1"/>
    </xf>
    <xf numFmtId="0" fontId="43" fillId="2" borderId="0" xfId="0" applyFont="1" applyFill="1" applyBorder="1" applyAlignment="1" applyProtection="1">
      <alignment horizontal="left"/>
      <protection locked="0"/>
    </xf>
    <xf numFmtId="0" fontId="26" fillId="2" borderId="0" xfId="0" applyFont="1" applyFill="1" applyBorder="1" applyAlignment="1" applyProtection="1">
      <alignment horizontal="center" vertical="top"/>
    </xf>
    <xf numFmtId="0" fontId="46" fillId="2" borderId="0" xfId="0" applyFont="1" applyFill="1" applyBorder="1" applyAlignment="1" applyProtection="1">
      <alignment horizontal="center"/>
    </xf>
    <xf numFmtId="171" fontId="29" fillId="2" borderId="0" xfId="0" applyNumberFormat="1" applyFont="1" applyFill="1" applyBorder="1" applyAlignment="1" applyProtection="1">
      <alignment horizontal="left" vertical="top"/>
      <protection hidden="1"/>
    </xf>
    <xf numFmtId="0" fontId="30" fillId="0" borderId="0" xfId="0" applyFont="1" applyBorder="1" applyAlignment="1">
      <alignment horizontal="left" vertical="top"/>
    </xf>
    <xf numFmtId="0" fontId="19" fillId="15" borderId="19" xfId="0" applyNumberFormat="1" applyFont="1" applyFill="1" applyBorder="1" applyAlignment="1" applyProtection="1">
      <alignment horizontal="center" vertical="center"/>
      <protection locked="0"/>
    </xf>
    <xf numFmtId="0" fontId="19" fillId="15" borderId="20" xfId="0" applyNumberFormat="1" applyFont="1" applyFill="1" applyBorder="1" applyAlignment="1" applyProtection="1">
      <alignment horizontal="center" vertical="center"/>
      <protection locked="0"/>
    </xf>
    <xf numFmtId="0" fontId="19" fillId="15" borderId="18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left" vertical="top" wrapText="1"/>
      <protection locked="0"/>
    </xf>
    <xf numFmtId="0" fontId="18" fillId="0" borderId="2" xfId="0" applyNumberFormat="1" applyFont="1" applyFill="1" applyBorder="1" applyAlignment="1" applyProtection="1">
      <alignment horizontal="left" vertical="top" wrapText="1"/>
      <protection locked="0"/>
    </xf>
    <xf numFmtId="0" fontId="18" fillId="0" borderId="3" xfId="0" applyNumberFormat="1" applyFont="1" applyFill="1" applyBorder="1" applyAlignment="1" applyProtection="1">
      <alignment horizontal="left" vertical="top" wrapText="1"/>
      <protection locked="0"/>
    </xf>
    <xf numFmtId="0" fontId="18" fillId="0" borderId="4" xfId="0" applyNumberFormat="1" applyFont="1" applyFill="1" applyBorder="1" applyAlignment="1" applyProtection="1">
      <alignment horizontal="left" vertical="top" wrapText="1"/>
      <protection locked="0"/>
    </xf>
    <xf numFmtId="0" fontId="18" fillId="0" borderId="0" xfId="0" applyNumberFormat="1" applyFont="1" applyFill="1" applyBorder="1" applyAlignment="1" applyProtection="1">
      <alignment horizontal="left" vertical="top" wrapText="1"/>
      <protection locked="0"/>
    </xf>
    <xf numFmtId="0" fontId="18" fillId="0" borderId="5" xfId="0" applyNumberFormat="1" applyFont="1" applyFill="1" applyBorder="1" applyAlignment="1" applyProtection="1">
      <alignment horizontal="left" vertical="top" wrapText="1"/>
      <protection locked="0"/>
    </xf>
    <xf numFmtId="0" fontId="18" fillId="0" borderId="6" xfId="0" applyNumberFormat="1" applyFont="1" applyFill="1" applyBorder="1" applyAlignment="1" applyProtection="1">
      <alignment horizontal="left" vertical="top" wrapText="1"/>
      <protection locked="0"/>
    </xf>
    <xf numFmtId="0" fontId="18" fillId="0" borderId="7" xfId="0" applyNumberFormat="1" applyFont="1" applyFill="1" applyBorder="1" applyAlignment="1" applyProtection="1">
      <alignment horizontal="left" vertical="top" wrapText="1"/>
      <protection locked="0"/>
    </xf>
    <xf numFmtId="0" fontId="18" fillId="0" borderId="16" xfId="0" applyNumberFormat="1" applyFont="1" applyFill="1" applyBorder="1" applyAlignment="1" applyProtection="1">
      <alignment horizontal="left" vertical="top" wrapText="1"/>
      <protection locked="0"/>
    </xf>
    <xf numFmtId="171" fontId="18" fillId="2" borderId="0" xfId="0" applyNumberFormat="1" applyFont="1" applyFill="1" applyBorder="1" applyAlignment="1" applyProtection="1">
      <alignment horizontal="left" vertical="top" wrapText="1"/>
      <protection hidden="1"/>
    </xf>
    <xf numFmtId="4" fontId="25" fillId="2" borderId="0" xfId="1" applyNumberFormat="1" applyFont="1" applyFill="1" applyBorder="1" applyAlignment="1" applyProtection="1">
      <alignment horizontal="right"/>
    </xf>
    <xf numFmtId="4" fontId="24" fillId="2" borderId="0" xfId="1" applyNumberFormat="1" applyFont="1" applyFill="1" applyBorder="1" applyAlignment="1" applyProtection="1">
      <alignment horizontal="right"/>
    </xf>
    <xf numFmtId="0" fontId="53" fillId="2" borderId="0" xfId="0" applyFont="1" applyFill="1" applyBorder="1" applyAlignment="1" applyProtection="1">
      <alignment horizontal="center"/>
    </xf>
    <xf numFmtId="0" fontId="44" fillId="2" borderId="2" xfId="0" applyFont="1" applyFill="1" applyBorder="1" applyAlignment="1" applyProtection="1">
      <alignment horizontal="center"/>
    </xf>
    <xf numFmtId="0" fontId="44" fillId="2" borderId="0" xfId="0" applyFont="1" applyFill="1" applyBorder="1" applyAlignment="1" applyProtection="1">
      <alignment horizontal="center"/>
    </xf>
    <xf numFmtId="167" fontId="10" fillId="0" borderId="0" xfId="0" applyNumberFormat="1" applyFont="1" applyAlignment="1" applyProtection="1">
      <alignment horizontal="right"/>
      <protection hidden="1"/>
    </xf>
    <xf numFmtId="0" fontId="11" fillId="0" borderId="7" xfId="0" applyFont="1" applyBorder="1" applyAlignment="1" applyProtection="1">
      <alignment horizontal="center"/>
      <protection hidden="1"/>
    </xf>
    <xf numFmtId="0" fontId="45" fillId="2" borderId="0" xfId="0" applyFont="1" applyFill="1" applyAlignment="1" applyProtection="1">
      <alignment horizontal="left" vertical="top"/>
    </xf>
    <xf numFmtId="0" fontId="46" fillId="2" borderId="0" xfId="0" applyFont="1" applyFill="1" applyAlignment="1" applyProtection="1">
      <alignment horizontal="center" vertical="center"/>
    </xf>
    <xf numFmtId="0" fontId="44" fillId="2" borderId="0" xfId="0" applyFont="1" applyFill="1" applyAlignment="1" applyProtection="1">
      <alignment horizontal="left" indent="1"/>
    </xf>
    <xf numFmtId="0" fontId="19" fillId="15" borderId="19" xfId="0" applyNumberFormat="1" applyFont="1" applyFill="1" applyBorder="1" applyAlignment="1" applyProtection="1">
      <alignment horizontal="center"/>
      <protection locked="0"/>
    </xf>
    <xf numFmtId="0" fontId="19" fillId="15" borderId="20" xfId="0" applyNumberFormat="1" applyFont="1" applyFill="1" applyBorder="1" applyAlignment="1" applyProtection="1">
      <alignment horizontal="center"/>
      <protection locked="0"/>
    </xf>
    <xf numFmtId="0" fontId="19" fillId="15" borderId="18" xfId="0" applyNumberFormat="1" applyFont="1" applyFill="1" applyBorder="1" applyAlignment="1" applyProtection="1">
      <alignment horizontal="center"/>
      <protection locked="0"/>
    </xf>
    <xf numFmtId="171" fontId="18" fillId="2" borderId="0" xfId="0" applyNumberFormat="1" applyFont="1" applyFill="1" applyBorder="1" applyAlignment="1" applyProtection="1">
      <alignment horizontal="left" wrapText="1"/>
      <protection hidden="1"/>
    </xf>
    <xf numFmtId="0" fontId="22" fillId="2" borderId="0" xfId="0" applyFont="1" applyFill="1" applyAlignment="1" applyProtection="1">
      <alignment horizontal="right" vertical="center"/>
    </xf>
    <xf numFmtId="0" fontId="22" fillId="2" borderId="7" xfId="0" applyFont="1" applyFill="1" applyBorder="1" applyAlignment="1" applyProtection="1">
      <alignment horizontal="right" vertical="center"/>
    </xf>
    <xf numFmtId="0" fontId="19" fillId="2" borderId="5" xfId="0" applyFont="1" applyFill="1" applyBorder="1" applyAlignment="1" applyProtection="1">
      <alignment horizontal="left"/>
    </xf>
    <xf numFmtId="171" fontId="35" fillId="2" borderId="0" xfId="0" applyNumberFormat="1" applyFont="1" applyFill="1" applyBorder="1" applyAlignment="1" applyProtection="1">
      <alignment horizontal="left" vertical="top" wrapText="1"/>
      <protection hidden="1"/>
    </xf>
    <xf numFmtId="0" fontId="29" fillId="2" borderId="0" xfId="0" applyFont="1" applyFill="1" applyAlignment="1" applyProtection="1">
      <alignment horizontal="center"/>
      <protection hidden="1"/>
    </xf>
    <xf numFmtId="0" fontId="18" fillId="3" borderId="1" xfId="0" applyFont="1" applyFill="1" applyBorder="1" applyAlignment="1" applyProtection="1">
      <alignment horizontal="left" indent="1"/>
      <protection locked="0"/>
    </xf>
    <xf numFmtId="0" fontId="18" fillId="3" borderId="2" xfId="0" applyFont="1" applyFill="1" applyBorder="1" applyAlignment="1" applyProtection="1">
      <alignment horizontal="left" indent="1"/>
      <protection locked="0"/>
    </xf>
    <xf numFmtId="0" fontId="18" fillId="3" borderId="3" xfId="0" applyFont="1" applyFill="1" applyBorder="1" applyAlignment="1" applyProtection="1">
      <alignment horizontal="left" indent="1"/>
      <protection locked="0"/>
    </xf>
    <xf numFmtId="0" fontId="18" fillId="3" borderId="6" xfId="0" applyFont="1" applyFill="1" applyBorder="1" applyAlignment="1" applyProtection="1">
      <alignment horizontal="left" indent="1"/>
      <protection locked="0"/>
    </xf>
    <xf numFmtId="0" fontId="18" fillId="3" borderId="7" xfId="0" applyFont="1" applyFill="1" applyBorder="1" applyAlignment="1" applyProtection="1">
      <alignment horizontal="left" indent="1"/>
      <protection locked="0"/>
    </xf>
    <xf numFmtId="0" fontId="18" fillId="3" borderId="16" xfId="0" applyFont="1" applyFill="1" applyBorder="1" applyAlignment="1" applyProtection="1">
      <alignment horizontal="left" indent="1"/>
      <protection locked="0"/>
    </xf>
    <xf numFmtId="171" fontId="24" fillId="0" borderId="8" xfId="0" applyNumberFormat="1" applyFont="1" applyFill="1" applyBorder="1" applyAlignment="1" applyProtection="1">
      <alignment horizontal="center" vertical="center"/>
      <protection locked="0"/>
    </xf>
    <xf numFmtId="171" fontId="24" fillId="0" borderId="10" xfId="0" applyNumberFormat="1" applyFont="1" applyFill="1" applyBorder="1" applyAlignment="1" applyProtection="1">
      <alignment horizontal="center" vertical="center"/>
      <protection locked="0"/>
    </xf>
    <xf numFmtId="0" fontId="56" fillId="2" borderId="0" xfId="0" applyFont="1" applyFill="1" applyBorder="1" applyAlignment="1" applyProtection="1">
      <alignment horizontal="center" vertical="center" wrapText="1"/>
    </xf>
    <xf numFmtId="0" fontId="56" fillId="2" borderId="7" xfId="0" applyFont="1" applyFill="1" applyBorder="1" applyAlignment="1" applyProtection="1">
      <alignment horizontal="center" vertical="center" wrapText="1"/>
    </xf>
    <xf numFmtId="0" fontId="4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center"/>
    </xf>
    <xf numFmtId="0" fontId="26" fillId="2" borderId="2" xfId="0" applyFont="1" applyFill="1" applyBorder="1" applyAlignment="1" applyProtection="1">
      <alignment horizontal="left" vertical="top"/>
    </xf>
    <xf numFmtId="0" fontId="26" fillId="2" borderId="0" xfId="0" applyFont="1" applyFill="1" applyAlignment="1" applyProtection="1">
      <alignment horizontal="left" vertical="top"/>
    </xf>
    <xf numFmtId="0" fontId="19" fillId="2" borderId="0" xfId="0" applyFont="1" applyFill="1" applyAlignment="1" applyProtection="1">
      <alignment horizontal="left"/>
    </xf>
    <xf numFmtId="0" fontId="18" fillId="2" borderId="0" xfId="0" applyFont="1" applyFill="1" applyAlignment="1" applyProtection="1">
      <alignment horizontal="left" vertical="center"/>
    </xf>
    <xf numFmtId="0" fontId="46" fillId="2" borderId="0" xfId="0" applyFont="1" applyFill="1" applyAlignment="1" applyProtection="1">
      <alignment horizontal="center" vertical="top"/>
    </xf>
  </cellXfs>
  <cellStyles count="12">
    <cellStyle name="1000-sep (2 dec)" xfId="1" builtinId="3"/>
    <cellStyle name="Komma 2" xfId="2"/>
    <cellStyle name="Komma_lønninger" xfId="3"/>
    <cellStyle name="Link 2" xfId="4"/>
    <cellStyle name="Normal" xfId="0" builtinId="0"/>
    <cellStyle name="Normal 2" xfId="5"/>
    <cellStyle name="Normal 3" xfId="11"/>
    <cellStyle name="Normal_lønninger" xfId="6"/>
    <cellStyle name="Normal_lønninger_1" xfId="7"/>
    <cellStyle name="Normal_Puljebelastning" xfId="8"/>
    <cellStyle name="Procent" xfId="9" builtinId="5"/>
    <cellStyle name="Procent 2" xfId="1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28575</xdr:rowOff>
    </xdr:from>
    <xdr:to>
      <xdr:col>1</xdr:col>
      <xdr:colOff>762000</xdr:colOff>
      <xdr:row>11</xdr:row>
      <xdr:rowOff>9525</xdr:rowOff>
    </xdr:to>
    <xdr:sp macro="[0]!UdskrivPuljebelastning" textlink="">
      <xdr:nvSpPr>
        <xdr:cNvPr id="5131" name="Text Box 11"/>
        <xdr:cNvSpPr txBox="1">
          <a:spLocks noChangeArrowheads="1"/>
        </xdr:cNvSpPr>
      </xdr:nvSpPr>
      <xdr:spPr bwMode="auto">
        <a:xfrm>
          <a:off x="19050" y="962025"/>
          <a:ext cx="1323975" cy="3238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800"/>
            </a:lnSpc>
            <a:defRPr sz="1000"/>
          </a:pPr>
          <a:r>
            <a:rPr lang="da-DK" sz="1000" b="1" i="0" strike="noStrike">
              <a:solidFill>
                <a:srgbClr val="FF0000"/>
              </a:solidFill>
              <a:latin typeface="Times New Roman"/>
              <a:cs typeface="Times New Roman"/>
            </a:rPr>
            <a:t>Udskriv puljebelastning</a:t>
          </a:r>
        </a:p>
        <a:p>
          <a:pPr algn="ctr" rtl="0">
            <a:lnSpc>
              <a:spcPts val="1000"/>
            </a:lnSpc>
            <a:defRPr sz="1000"/>
          </a:pPr>
          <a:r>
            <a:rPr lang="da-DK" sz="1000" b="1" i="0" strike="noStrike">
              <a:solidFill>
                <a:srgbClr val="FF0000"/>
              </a:solidFill>
              <a:latin typeface="Times New Roman"/>
              <a:cs typeface="Times New Roman"/>
            </a:rPr>
            <a:t>Tryk her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L177"/>
  <sheetViews>
    <sheetView zoomScaleSheetLayoutView="85" workbookViewId="0">
      <selection activeCell="N21" sqref="N21"/>
    </sheetView>
  </sheetViews>
  <sheetFormatPr defaultRowHeight="12.75"/>
  <cols>
    <col min="1" max="1" width="6.6640625" style="100" customWidth="1"/>
    <col min="2" max="2" width="39.1640625" style="100" customWidth="1"/>
    <col min="3" max="3" width="12" style="100" customWidth="1"/>
    <col min="4" max="4" width="6.5" style="100" customWidth="1"/>
    <col min="5" max="7" width="13.83203125" style="100" customWidth="1"/>
    <col min="8" max="8" width="2.83203125" style="100" customWidth="1"/>
    <col min="9" max="9" width="5.83203125" style="100" customWidth="1"/>
    <col min="10" max="10" width="4.5" style="100" customWidth="1"/>
    <col min="11" max="11" width="15" style="100" hidden="1" customWidth="1"/>
    <col min="12" max="12" width="9.33203125" style="100" hidden="1" customWidth="1"/>
    <col min="13" max="16384" width="9.33203125" style="100"/>
  </cols>
  <sheetData>
    <row r="1" spans="1:12" ht="12.75" customHeight="1">
      <c r="A1" s="110" t="s">
        <v>10</v>
      </c>
      <c r="F1" s="208" t="s">
        <v>0</v>
      </c>
      <c r="G1" s="292"/>
    </row>
    <row r="2" spans="1:12" ht="12.75" customHeight="1">
      <c r="A2" s="110" t="s">
        <v>384</v>
      </c>
    </row>
    <row r="3" spans="1:12" ht="12.75" customHeight="1">
      <c r="A3" s="604" t="s">
        <v>386</v>
      </c>
      <c r="B3" s="604"/>
      <c r="C3" s="604"/>
      <c r="D3" s="604"/>
      <c r="E3" s="604"/>
      <c r="F3" s="604"/>
      <c r="G3" s="604"/>
    </row>
    <row r="4" spans="1:12" ht="12.75" customHeight="1"/>
    <row r="5" spans="1:12" ht="12.75" customHeight="1">
      <c r="A5" s="101">
        <v>1</v>
      </c>
      <c r="B5" s="102" t="s">
        <v>94</v>
      </c>
      <c r="C5" s="605"/>
      <c r="D5" s="605"/>
      <c r="E5" s="605"/>
      <c r="F5" s="605"/>
      <c r="G5" s="605"/>
    </row>
    <row r="6" spans="1:12" ht="12.75" customHeight="1">
      <c r="A6" s="101">
        <v>2</v>
      </c>
      <c r="B6" s="102" t="s">
        <v>88</v>
      </c>
      <c r="C6" s="606"/>
      <c r="D6" s="606"/>
      <c r="E6" s="606"/>
      <c r="F6" s="606"/>
      <c r="G6" s="606"/>
    </row>
    <row r="7" spans="1:12" ht="12.75" customHeight="1">
      <c r="A7" s="101">
        <v>3</v>
      </c>
      <c r="B7" s="102" t="s">
        <v>89</v>
      </c>
      <c r="C7" s="605"/>
      <c r="D7" s="605"/>
      <c r="E7" s="605"/>
      <c r="F7" s="605"/>
      <c r="G7" s="605"/>
    </row>
    <row r="8" spans="1:12" ht="12.75" customHeight="1">
      <c r="A8" s="101">
        <v>4</v>
      </c>
      <c r="B8" s="102" t="s">
        <v>56</v>
      </c>
      <c r="C8" s="224">
        <f>C9/MAX(C10,1)</f>
        <v>1</v>
      </c>
      <c r="D8" s="103"/>
      <c r="E8" s="103"/>
      <c r="F8" s="103"/>
      <c r="G8" s="105"/>
    </row>
    <row r="9" spans="1:12" ht="12.75" customHeight="1">
      <c r="A9" s="225" t="s">
        <v>160</v>
      </c>
      <c r="B9" s="102" t="s">
        <v>96</v>
      </c>
      <c r="C9" s="98">
        <v>37</v>
      </c>
      <c r="D9" s="198"/>
      <c r="E9" s="112"/>
      <c r="F9" s="112"/>
      <c r="G9" s="105"/>
    </row>
    <row r="10" spans="1:12" ht="12.75" customHeight="1">
      <c r="A10" s="101" t="s">
        <v>161</v>
      </c>
      <c r="B10" s="102" t="s">
        <v>97</v>
      </c>
      <c r="C10" s="98">
        <v>37</v>
      </c>
      <c r="D10" s="106"/>
      <c r="E10" s="107"/>
      <c r="F10" s="107"/>
      <c r="G10" s="131"/>
    </row>
    <row r="11" spans="1:12" ht="12.75" customHeight="1">
      <c r="A11" s="101">
        <v>5</v>
      </c>
      <c r="B11" s="102" t="s">
        <v>233</v>
      </c>
      <c r="C11" s="605"/>
      <c r="D11" s="605"/>
      <c r="E11" s="605"/>
      <c r="F11" s="605"/>
      <c r="G11" s="605"/>
    </row>
    <row r="12" spans="1:12" ht="12.75" customHeight="1">
      <c r="A12" s="101">
        <v>6</v>
      </c>
      <c r="B12" s="102" t="s">
        <v>151</v>
      </c>
      <c r="C12" s="606"/>
      <c r="D12" s="606"/>
      <c r="E12" s="106"/>
      <c r="F12" s="107"/>
      <c r="G12" s="108"/>
    </row>
    <row r="13" spans="1:12" ht="12.75" customHeight="1">
      <c r="A13" s="101">
        <v>7</v>
      </c>
      <c r="B13" s="102" t="s">
        <v>12</v>
      </c>
      <c r="C13" s="98"/>
      <c r="D13" s="607" t="e">
        <f>VLOOKUP(C13,tabeloverenskomstnr,3,1)</f>
        <v>#N/A</v>
      </c>
      <c r="E13" s="607"/>
      <c r="F13" s="607"/>
      <c r="G13" s="607"/>
    </row>
    <row r="14" spans="1:12" ht="12.75" customHeight="1">
      <c r="A14" s="101">
        <v>8</v>
      </c>
      <c r="B14" s="102" t="s">
        <v>93</v>
      </c>
      <c r="C14" s="605"/>
      <c r="D14" s="605"/>
      <c r="E14" s="106"/>
      <c r="F14" s="107"/>
      <c r="G14" s="108"/>
    </row>
    <row r="15" spans="1:12" ht="12.75" customHeight="1">
      <c r="A15" s="101">
        <v>9</v>
      </c>
      <c r="B15" s="242" t="str">
        <f>IF(OR(C15&lt;0,C15&gt;5),"Fejl! Lønkode skal være 0 - 5","Lønkode")</f>
        <v>Lønkode</v>
      </c>
      <c r="C15" s="98">
        <v>0</v>
      </c>
      <c r="D15" s="295" t="s">
        <v>323</v>
      </c>
      <c r="E15" s="112"/>
      <c r="F15" s="112"/>
      <c r="G15" s="134"/>
      <c r="K15" s="100" t="s">
        <v>273</v>
      </c>
      <c r="L15" s="100">
        <f>VLOOKUP(LønkodeRåd1,TabelPctReg,2)</f>
        <v>31.779800000000002</v>
      </c>
    </row>
    <row r="16" spans="1:12" ht="12.75" customHeight="1">
      <c r="A16" s="101"/>
      <c r="B16" s="242"/>
      <c r="C16" s="242"/>
      <c r="D16" s="296" t="s">
        <v>324</v>
      </c>
      <c r="E16" s="275"/>
      <c r="F16" s="275"/>
      <c r="G16" s="132"/>
    </row>
    <row r="17" spans="1:12" ht="12.75" customHeight="1">
      <c r="A17" s="101">
        <v>10</v>
      </c>
      <c r="B17" s="242" t="s">
        <v>270</v>
      </c>
      <c r="C17" s="98"/>
      <c r="D17" s="589" t="s">
        <v>266</v>
      </c>
      <c r="E17" s="590"/>
      <c r="F17" s="107"/>
      <c r="G17" s="108"/>
      <c r="K17" s="252"/>
      <c r="L17" s="252"/>
    </row>
    <row r="18" spans="1:12" ht="12.75" customHeight="1">
      <c r="A18" s="103"/>
      <c r="B18" s="82"/>
      <c r="C18" s="103"/>
      <c r="D18" s="103"/>
      <c r="E18" s="103"/>
      <c r="F18" s="103"/>
      <c r="G18" s="103"/>
    </row>
    <row r="19" spans="1:12" ht="12.75" customHeight="1">
      <c r="A19" s="111"/>
      <c r="B19" s="112"/>
      <c r="C19" s="228" t="s">
        <v>162</v>
      </c>
      <c r="D19" s="228" t="s">
        <v>2</v>
      </c>
      <c r="E19" s="228" t="s">
        <v>234</v>
      </c>
      <c r="F19" s="229" t="s">
        <v>235</v>
      </c>
      <c r="G19" s="115"/>
    </row>
    <row r="20" spans="1:12" ht="12.75" customHeight="1">
      <c r="A20" s="115"/>
      <c r="B20" s="103"/>
      <c r="C20" s="230" t="s">
        <v>163</v>
      </c>
      <c r="D20" s="230"/>
      <c r="E20" s="230"/>
      <c r="F20" s="231"/>
      <c r="G20" s="115"/>
    </row>
    <row r="21" spans="1:12" ht="12.75" customHeight="1">
      <c r="A21" s="115"/>
      <c r="B21" s="103"/>
      <c r="C21" s="243">
        <f>VLOOKUP(LønkodeRåd1,TabelPctReg,3)</f>
        <v>36616</v>
      </c>
      <c r="D21" s="232"/>
      <c r="E21" s="243">
        <f>Dato1</f>
        <v>42370</v>
      </c>
      <c r="F21" s="243">
        <f>Dato1</f>
        <v>42370</v>
      </c>
      <c r="G21" s="203"/>
    </row>
    <row r="22" spans="1:12" ht="12.75" customHeight="1">
      <c r="A22" s="101">
        <v>11</v>
      </c>
      <c r="B22" s="242" t="s">
        <v>4</v>
      </c>
      <c r="C22" s="199"/>
      <c r="D22" s="98"/>
      <c r="E22" s="117">
        <f>ROUND(VLOOKUP(D22,TabelLøn,StartKolonneRåd1,1)*BeskGradRåd1,2)+ROUND(C22/12*BeskGradRåd1*(1+PctRegRåd1%),2)</f>
        <v>0</v>
      </c>
      <c r="F22" s="202">
        <f>E22*12</f>
        <v>0</v>
      </c>
      <c r="G22" s="206"/>
    </row>
    <row r="23" spans="1:12" ht="12.75" customHeight="1">
      <c r="A23" s="101">
        <v>12</v>
      </c>
      <c r="B23" s="102" t="s">
        <v>145</v>
      </c>
      <c r="C23" s="116"/>
      <c r="D23" s="102"/>
      <c r="E23" s="117"/>
      <c r="F23" s="133"/>
      <c r="G23" s="206"/>
    </row>
    <row r="24" spans="1:12" ht="12.75" customHeight="1">
      <c r="A24" s="101"/>
      <c r="B24" s="102" t="s">
        <v>251</v>
      </c>
      <c r="C24" s="116"/>
      <c r="D24" s="98"/>
      <c r="E24" s="117">
        <f>ROUND((VLOOKUP($D$22+D24,TabelLøn,StartKolonneRåd1,1)-VLOOKUP($D$22,TabelLøn,StartKolonneRåd1,1))*BeskGradRåd1,2)</f>
        <v>0</v>
      </c>
      <c r="F24" s="202">
        <f>E24*12</f>
        <v>0</v>
      </c>
      <c r="G24" s="300"/>
    </row>
    <row r="25" spans="1:12" ht="12.75" customHeight="1">
      <c r="A25" s="101"/>
      <c r="B25" s="102" t="s">
        <v>252</v>
      </c>
      <c r="C25" s="199"/>
      <c r="D25" s="104"/>
      <c r="E25" s="117">
        <f>ROUND(C25/12*BeskGradRåd1*(1+PctRegRåd1%),2)</f>
        <v>0</v>
      </c>
      <c r="F25" s="202">
        <f>E25*12</f>
        <v>0</v>
      </c>
      <c r="G25" s="206"/>
    </row>
    <row r="26" spans="1:12" ht="12.75" customHeight="1">
      <c r="A26" s="101"/>
      <c r="B26" s="102" t="s">
        <v>253</v>
      </c>
      <c r="C26" s="116"/>
      <c r="D26" s="98"/>
      <c r="E26" s="117">
        <f>ROUND((VLOOKUP($D$22+D24+D26,TabelLøn,StartKolonneRåd1,1)-VLOOKUP($D$22+D24,TabelLøn,StartKolonneRåd1,1))*BeskGradRåd1,2)</f>
        <v>0</v>
      </c>
      <c r="F26" s="202">
        <f>E26*12</f>
        <v>0</v>
      </c>
      <c r="G26" s="300"/>
    </row>
    <row r="27" spans="1:12" ht="12.75" customHeight="1">
      <c r="A27" s="101"/>
      <c r="B27" s="102" t="s">
        <v>254</v>
      </c>
      <c r="C27" s="199"/>
      <c r="D27" s="102"/>
      <c r="E27" s="117">
        <f>ROUND(C27/12*BeskGradRåd1*(1+PctRegRåd1%),2)</f>
        <v>0</v>
      </c>
      <c r="F27" s="202">
        <f>E27*12</f>
        <v>0</v>
      </c>
      <c r="G27" s="206"/>
    </row>
    <row r="28" spans="1:12" ht="12.75" customHeight="1">
      <c r="A28" s="101"/>
      <c r="B28" s="102" t="s">
        <v>250</v>
      </c>
      <c r="C28" s="199"/>
      <c r="D28" s="102"/>
      <c r="E28" s="117">
        <f>ROUND(C28/12*BeskGradRåd1*(1+PctRegRåd1%),2)</f>
        <v>0</v>
      </c>
      <c r="F28" s="202">
        <f>E28*12</f>
        <v>0</v>
      </c>
      <c r="G28" s="206"/>
    </row>
    <row r="29" spans="1:12" ht="12.75" customHeight="1">
      <c r="A29" s="101">
        <v>13</v>
      </c>
      <c r="B29" s="102" t="s">
        <v>146</v>
      </c>
      <c r="C29" s="116"/>
      <c r="D29" s="104"/>
      <c r="E29" s="117"/>
      <c r="F29" s="133"/>
      <c r="G29" s="206"/>
    </row>
    <row r="30" spans="1:12" ht="12.75" customHeight="1">
      <c r="A30" s="101"/>
      <c r="B30" s="102" t="s">
        <v>251</v>
      </c>
      <c r="C30" s="116"/>
      <c r="D30" s="98"/>
      <c r="E30" s="117">
        <f>ROUND((VLOOKUP($D$22+D24+D26+D30,TabelLøn,StartKolonneRåd1,1)-VLOOKUP($D$22+D24+D26,TabelLøn,StartKolonneRåd1,1))*BeskGradRåd1,2)</f>
        <v>0</v>
      </c>
      <c r="F30" s="202">
        <f>E30*12</f>
        <v>0</v>
      </c>
      <c r="G30" s="206"/>
    </row>
    <row r="31" spans="1:12" ht="12.75" customHeight="1">
      <c r="A31" s="104"/>
      <c r="B31" s="102" t="s">
        <v>252</v>
      </c>
      <c r="C31" s="199"/>
      <c r="D31" s="104"/>
      <c r="E31" s="117">
        <f>ROUND(C31/12*BeskGradRåd1*(1+PctRegRåd1%),2)</f>
        <v>0</v>
      </c>
      <c r="F31" s="202">
        <f>E31*12</f>
        <v>0</v>
      </c>
      <c r="G31" s="206"/>
    </row>
    <row r="32" spans="1:12" ht="12.75" customHeight="1">
      <c r="A32" s="101"/>
      <c r="B32" s="102" t="s">
        <v>253</v>
      </c>
      <c r="C32" s="116"/>
      <c r="D32" s="98"/>
      <c r="E32" s="117">
        <f>ROUND((VLOOKUP(SUM($D$22:D32),TabelLøn,StartKolonneRåd1,1)-VLOOKUP(SUM($D$22:D30),TabelLøn,StartKolonneRåd1,1))*BeskGradRåd1,2)</f>
        <v>0</v>
      </c>
      <c r="F32" s="202">
        <f>E32*12</f>
        <v>0</v>
      </c>
      <c r="G32" s="206"/>
    </row>
    <row r="33" spans="1:12" ht="12.75" customHeight="1">
      <c r="A33" s="101"/>
      <c r="B33" s="102" t="s">
        <v>254</v>
      </c>
      <c r="C33" s="199"/>
      <c r="D33" s="104"/>
      <c r="E33" s="117">
        <f>ROUND(C33/12*BeskGradRåd1*(1+PctRegRåd1%),2)</f>
        <v>0</v>
      </c>
      <c r="F33" s="202">
        <f>E33*12</f>
        <v>0</v>
      </c>
      <c r="G33" s="206"/>
    </row>
    <row r="34" spans="1:12" ht="12.75" customHeight="1">
      <c r="A34" s="101"/>
      <c r="B34" s="102" t="s">
        <v>250</v>
      </c>
      <c r="C34" s="199"/>
      <c r="D34" s="102"/>
      <c r="E34" s="117">
        <f>ROUND(C34/12*BeskGradRåd1*(1+PctRegRåd1%),2)</f>
        <v>0</v>
      </c>
      <c r="F34" s="202">
        <f>E34*12</f>
        <v>0</v>
      </c>
      <c r="G34" s="206"/>
    </row>
    <row r="35" spans="1:12" ht="12.75" customHeight="1">
      <c r="A35" s="101">
        <v>14</v>
      </c>
      <c r="B35" s="102" t="s">
        <v>13</v>
      </c>
      <c r="C35" s="116"/>
      <c r="D35" s="104"/>
      <c r="E35" s="117"/>
      <c r="F35" s="133"/>
      <c r="G35" s="207"/>
    </row>
    <row r="36" spans="1:12" ht="12.75" customHeight="1">
      <c r="A36" s="104"/>
      <c r="B36" s="102" t="s">
        <v>255</v>
      </c>
      <c r="C36" s="199"/>
      <c r="D36" s="104"/>
      <c r="E36" s="117">
        <f>ROUND(C36/12*BeskGradRåd1*(1+PctRegRåd1%),2)</f>
        <v>0</v>
      </c>
      <c r="F36" s="202">
        <f>E36*12</f>
        <v>0</v>
      </c>
      <c r="G36" s="207"/>
    </row>
    <row r="37" spans="1:12" ht="12.75" customHeight="1">
      <c r="A37" s="104"/>
      <c r="B37" s="102" t="s">
        <v>250</v>
      </c>
      <c r="C37" s="199"/>
      <c r="D37" s="104"/>
      <c r="E37" s="117">
        <f>ROUND(C37/12*BeskGradRåd1*(1+PctRegRåd1%),2)</f>
        <v>0</v>
      </c>
      <c r="F37" s="202">
        <f>E37*12</f>
        <v>0</v>
      </c>
      <c r="G37" s="207"/>
    </row>
    <row r="38" spans="1:12" ht="12.75" customHeight="1">
      <c r="A38" s="101">
        <v>15</v>
      </c>
      <c r="B38" s="102" t="s">
        <v>6</v>
      </c>
      <c r="C38" s="116"/>
      <c r="D38" s="104"/>
      <c r="E38" s="117"/>
      <c r="F38" s="133"/>
      <c r="G38" s="206"/>
    </row>
    <row r="39" spans="1:12" ht="12.75" customHeight="1">
      <c r="A39" s="101">
        <v>16</v>
      </c>
      <c r="B39" s="242" t="str">
        <f>IF(AND(C39&lt;&gt;0,D39&lt;&gt;0),"Fejl! Udfyld ENTEN kr.beløb ELLER Trin","Overgangstillæg/trin pensionsgivende")</f>
        <v>Overgangstillæg/trin pensionsgivende</v>
      </c>
      <c r="C39" s="201"/>
      <c r="D39" s="98"/>
      <c r="E39" s="117">
        <f>ROUND((VLOOKUP(SUM($D$22:D39),TabelLøn,StartKolonneRåd1,1)-VLOOKUP(SUM($D$22:D36),TabelLøn,StartKolonneRåd1,1))*BeskGradRåd1,2)+ROUND(C39/12*BeskGradRåd1*(1+PctRegRåd1%),2)</f>
        <v>0</v>
      </c>
      <c r="F39" s="202">
        <f>E39*12</f>
        <v>0</v>
      </c>
      <c r="G39" s="206"/>
      <c r="K39" s="252"/>
      <c r="L39" s="252"/>
    </row>
    <row r="40" spans="1:12" ht="12.75" customHeight="1">
      <c r="A40" s="101"/>
      <c r="B40" s="242" t="s">
        <v>256</v>
      </c>
      <c r="C40" s="201"/>
      <c r="D40" s="104"/>
      <c r="E40" s="117">
        <f>ROUND(C40/12*BeskGradRåd1*(1+PctRegRåd1%),2)</f>
        <v>0</v>
      </c>
      <c r="F40" s="202">
        <f>E40*12</f>
        <v>0</v>
      </c>
      <c r="G40" s="206"/>
      <c r="K40" s="252"/>
      <c r="L40" s="252"/>
    </row>
    <row r="41" spans="1:12" ht="12.75" customHeight="1">
      <c r="A41" s="101"/>
      <c r="B41" s="256" t="s">
        <v>249</v>
      </c>
      <c r="C41" s="205">
        <f>SUM(C22:C40)</f>
        <v>0</v>
      </c>
      <c r="D41" s="257">
        <f>SUM(D22:D40)</f>
        <v>0</v>
      </c>
      <c r="E41" s="205">
        <f>SUM(E22:E40)</f>
        <v>0</v>
      </c>
      <c r="F41" s="205">
        <f>SUM(F22:F40)</f>
        <v>0</v>
      </c>
      <c r="G41" s="206"/>
      <c r="K41" s="252" t="s">
        <v>236</v>
      </c>
      <c r="L41" s="252" t="s">
        <v>22</v>
      </c>
    </row>
    <row r="42" spans="1:12" ht="12.75" customHeight="1">
      <c r="A42" s="101">
        <v>17</v>
      </c>
      <c r="B42" s="102" t="s">
        <v>239</v>
      </c>
      <c r="C42" s="116"/>
      <c r="D42" s="104"/>
      <c r="E42" s="117">
        <f>ROUND(VLOOKUP(D44,TabelLønninger,VLOOKUP(LønkodeRåd1,TabelPensgivLøn,2))*Pensionsprocentafgang/100/12*BeskGradRåd1,2)+L42</f>
        <v>0</v>
      </c>
      <c r="F42" s="202">
        <f>E42*12</f>
        <v>0</v>
      </c>
      <c r="G42" s="206"/>
      <c r="K42" s="117">
        <f>C41-C28-C34-C37-C40</f>
        <v>0</v>
      </c>
      <c r="L42" s="117">
        <f>ROUND(K42/12*BeskGradRåd1*(1+PctRegRåd1%)*Pensionsprocentafgang/100,2)</f>
        <v>0</v>
      </c>
    </row>
    <row r="43" spans="1:12" ht="12.75" customHeight="1">
      <c r="A43" s="125">
        <v>18</v>
      </c>
      <c r="B43" s="113" t="s">
        <v>237</v>
      </c>
      <c r="C43" s="121"/>
      <c r="D43" s="254"/>
      <c r="E43" s="127"/>
      <c r="F43" s="253"/>
      <c r="G43" s="206"/>
      <c r="K43" s="222"/>
      <c r="L43" s="222"/>
    </row>
    <row r="44" spans="1:12" ht="12.75" customHeight="1">
      <c r="A44" s="255"/>
      <c r="B44" s="256" t="s">
        <v>238</v>
      </c>
      <c r="C44" s="205">
        <f>SUM(C41:C42)</f>
        <v>0</v>
      </c>
      <c r="D44" s="257">
        <f>SUM(D41:D42)</f>
        <v>0</v>
      </c>
      <c r="E44" s="205">
        <f>SUM(E41:E42)</f>
        <v>0</v>
      </c>
      <c r="F44" s="258">
        <f>SUM(F41:F42)</f>
        <v>0</v>
      </c>
      <c r="G44" s="206"/>
      <c r="L44" s="222"/>
    </row>
    <row r="45" spans="1:12" ht="12.75" customHeight="1">
      <c r="A45" s="120">
        <v>19</v>
      </c>
      <c r="B45" s="113" t="s">
        <v>232</v>
      </c>
      <c r="C45" s="121"/>
      <c r="D45" s="121"/>
      <c r="E45" s="127"/>
      <c r="F45" s="204"/>
      <c r="G45" s="206"/>
      <c r="L45" s="222"/>
    </row>
    <row r="46" spans="1:12" ht="12.75" customHeight="1">
      <c r="A46" s="122"/>
      <c r="B46" s="256" t="s">
        <v>238</v>
      </c>
      <c r="C46" s="129">
        <f>C104</f>
        <v>0</v>
      </c>
      <c r="D46" s="124">
        <f>D104</f>
        <v>0</v>
      </c>
      <c r="E46" s="129">
        <f>E104</f>
        <v>0</v>
      </c>
      <c r="F46" s="129">
        <f>F104</f>
        <v>0</v>
      </c>
      <c r="G46" s="206"/>
    </row>
    <row r="47" spans="1:12" ht="12.75" customHeight="1">
      <c r="A47" s="125">
        <v>20</v>
      </c>
      <c r="B47" s="114" t="s">
        <v>240</v>
      </c>
      <c r="C47" s="127"/>
      <c r="D47" s="126"/>
      <c r="E47" s="127"/>
      <c r="F47" s="128"/>
      <c r="G47" s="206"/>
    </row>
    <row r="48" spans="1:12" ht="12.75" customHeight="1">
      <c r="A48" s="122"/>
      <c r="B48" s="256" t="s">
        <v>238</v>
      </c>
      <c r="C48" s="123">
        <f>C44-C46</f>
        <v>0</v>
      </c>
      <c r="D48" s="259">
        <f>D44-D46</f>
        <v>0</v>
      </c>
      <c r="E48" s="123">
        <f>E44-E46</f>
        <v>0</v>
      </c>
      <c r="F48" s="123">
        <f>F44-F46</f>
        <v>0</v>
      </c>
      <c r="G48" s="206"/>
    </row>
    <row r="49" spans="1:7" ht="12.75" customHeight="1">
      <c r="A49" s="125">
        <v>21</v>
      </c>
      <c r="B49" s="130" t="s">
        <v>242</v>
      </c>
      <c r="C49" s="109" t="s">
        <v>8</v>
      </c>
      <c r="D49" s="130"/>
      <c r="E49" s="130"/>
      <c r="F49" s="108"/>
      <c r="G49" s="260"/>
    </row>
    <row r="50" spans="1:7" ht="12.75" customHeight="1">
      <c r="A50" s="122"/>
      <c r="B50" s="267"/>
      <c r="C50" s="261"/>
      <c r="D50" s="262"/>
      <c r="E50" s="263"/>
      <c r="F50" s="264"/>
      <c r="G50" s="260"/>
    </row>
    <row r="51" spans="1:7" ht="12.75" customHeight="1">
      <c r="A51" s="255"/>
      <c r="B51" s="268"/>
      <c r="C51" s="266"/>
      <c r="D51" s="265"/>
      <c r="E51" s="265"/>
      <c r="F51" s="132"/>
    </row>
    <row r="52" spans="1:7" ht="12.75" customHeight="1">
      <c r="A52" s="221"/>
      <c r="B52" s="82"/>
      <c r="C52" s="82"/>
      <c r="D52" s="82"/>
      <c r="E52" s="82"/>
      <c r="F52" s="103"/>
    </row>
    <row r="53" spans="1:7" ht="12.75" customHeight="1">
      <c r="A53" s="601" t="s">
        <v>213</v>
      </c>
      <c r="B53" s="602"/>
      <c r="C53" s="602"/>
      <c r="D53" s="602"/>
      <c r="E53" s="602"/>
      <c r="F53" s="602"/>
      <c r="G53" s="603"/>
    </row>
    <row r="54" spans="1:7" ht="12.75" customHeight="1">
      <c r="A54" s="584"/>
      <c r="B54" s="585"/>
      <c r="C54" s="585"/>
      <c r="D54" s="585"/>
      <c r="E54" s="585"/>
      <c r="F54" s="585"/>
      <c r="G54" s="586"/>
    </row>
    <row r="55" spans="1:7" ht="12.75" customHeight="1">
      <c r="A55" s="581"/>
      <c r="B55" s="582"/>
      <c r="C55" s="582"/>
      <c r="D55" s="582"/>
      <c r="E55" s="582"/>
      <c r="F55" s="582"/>
      <c r="G55" s="583"/>
    </row>
    <row r="56" spans="1:7" ht="12.75" customHeight="1">
      <c r="A56" s="581"/>
      <c r="B56" s="582"/>
      <c r="C56" s="582"/>
      <c r="D56" s="582"/>
      <c r="E56" s="582"/>
      <c r="F56" s="582"/>
      <c r="G56" s="583"/>
    </row>
    <row r="57" spans="1:7" ht="12.75" customHeight="1">
      <c r="A57" s="581"/>
      <c r="B57" s="582"/>
      <c r="C57" s="582"/>
      <c r="D57" s="582"/>
      <c r="E57" s="582"/>
      <c r="F57" s="582"/>
      <c r="G57" s="583"/>
    </row>
    <row r="58" spans="1:7" ht="12.75" customHeight="1">
      <c r="A58" s="581"/>
      <c r="B58" s="582"/>
      <c r="C58" s="582"/>
      <c r="D58" s="582"/>
      <c r="E58" s="582"/>
      <c r="F58" s="582"/>
      <c r="G58" s="583"/>
    </row>
    <row r="59" spans="1:7" ht="12.75" customHeight="1">
      <c r="A59" s="598"/>
      <c r="B59" s="599"/>
      <c r="C59" s="599"/>
      <c r="D59" s="599"/>
      <c r="E59" s="599"/>
      <c r="F59" s="599"/>
      <c r="G59" s="600"/>
    </row>
    <row r="60" spans="1:7" ht="12.75" customHeight="1"/>
    <row r="61" spans="1:7" ht="12.75" customHeight="1">
      <c r="A61" s="110" t="s">
        <v>10</v>
      </c>
      <c r="F61" s="208" t="s">
        <v>0</v>
      </c>
      <c r="G61" s="209"/>
    </row>
    <row r="62" spans="1:7" ht="12.75" customHeight="1">
      <c r="A62" s="110" t="s">
        <v>384</v>
      </c>
    </row>
    <row r="63" spans="1:7" ht="12.75" customHeight="1">
      <c r="A63" s="604" t="s">
        <v>385</v>
      </c>
      <c r="B63" s="604"/>
      <c r="C63" s="604"/>
      <c r="D63" s="604"/>
      <c r="E63" s="604"/>
      <c r="F63" s="604"/>
      <c r="G63" s="604"/>
    </row>
    <row r="64" spans="1:7" ht="12.75" customHeight="1">
      <c r="A64" s="110"/>
      <c r="D64" s="110"/>
      <c r="E64" s="110"/>
    </row>
    <row r="65" spans="1:12" ht="12.75" customHeight="1">
      <c r="A65" s="101">
        <v>1</v>
      </c>
      <c r="B65" s="102" t="s">
        <v>66</v>
      </c>
      <c r="C65" s="610"/>
      <c r="D65" s="610"/>
      <c r="E65" s="610"/>
      <c r="F65" s="610"/>
      <c r="G65" s="597"/>
    </row>
    <row r="66" spans="1:12" ht="12.75" customHeight="1">
      <c r="A66" s="101"/>
      <c r="B66" s="102" t="s">
        <v>152</v>
      </c>
      <c r="C66" s="610"/>
      <c r="D66" s="610"/>
      <c r="E66" s="610"/>
      <c r="F66" s="610"/>
      <c r="G66" s="597"/>
    </row>
    <row r="67" spans="1:12" ht="12.75" customHeight="1">
      <c r="A67" s="101"/>
      <c r="B67" s="102" t="s">
        <v>153</v>
      </c>
      <c r="C67" s="211"/>
      <c r="D67" s="596"/>
      <c r="E67" s="608"/>
      <c r="F67" s="608"/>
      <c r="G67" s="609"/>
    </row>
    <row r="68" spans="1:12" ht="12.75" customHeight="1">
      <c r="A68" s="101">
        <v>2</v>
      </c>
      <c r="B68" s="102" t="s">
        <v>88</v>
      </c>
      <c r="C68" s="587"/>
      <c r="D68" s="587"/>
      <c r="E68" s="587"/>
      <c r="F68" s="587"/>
      <c r="G68" s="588"/>
    </row>
    <row r="69" spans="1:12" ht="12.75" customHeight="1">
      <c r="A69" s="101">
        <v>3</v>
      </c>
      <c r="B69" s="102" t="s">
        <v>89</v>
      </c>
      <c r="C69" s="579">
        <f>C7</f>
        <v>0</v>
      </c>
      <c r="D69" s="579"/>
      <c r="E69" s="579"/>
      <c r="F69" s="579"/>
      <c r="G69" s="580"/>
    </row>
    <row r="70" spans="1:12" ht="12.75" customHeight="1">
      <c r="A70" s="101">
        <v>4</v>
      </c>
      <c r="B70" s="102" t="s">
        <v>56</v>
      </c>
      <c r="C70" s="224">
        <f>C71/MAX(C72,1)</f>
        <v>1</v>
      </c>
      <c r="D70" s="107"/>
      <c r="E70" s="107"/>
      <c r="F70" s="107"/>
      <c r="G70" s="131"/>
    </row>
    <row r="71" spans="1:12" ht="12.75" customHeight="1">
      <c r="A71" s="101" t="s">
        <v>160</v>
      </c>
      <c r="B71" s="102" t="s">
        <v>90</v>
      </c>
      <c r="C71" s="98">
        <v>37</v>
      </c>
      <c r="D71" s="107"/>
      <c r="E71" s="107"/>
      <c r="F71" s="107"/>
      <c r="G71" s="131"/>
    </row>
    <row r="72" spans="1:12" ht="12.75" customHeight="1">
      <c r="A72" s="101" t="s">
        <v>161</v>
      </c>
      <c r="B72" s="102" t="s">
        <v>91</v>
      </c>
      <c r="C72" s="98">
        <v>37</v>
      </c>
      <c r="D72" s="107"/>
      <c r="E72" s="107"/>
      <c r="F72" s="107"/>
      <c r="G72" s="131"/>
    </row>
    <row r="73" spans="1:12" ht="12.75" customHeight="1">
      <c r="A73" s="101">
        <v>5</v>
      </c>
      <c r="B73" s="102" t="s">
        <v>233</v>
      </c>
      <c r="C73" s="579">
        <f>C11</f>
        <v>0</v>
      </c>
      <c r="D73" s="579"/>
      <c r="E73" s="579"/>
      <c r="F73" s="579"/>
      <c r="G73" s="580"/>
    </row>
    <row r="74" spans="1:12" ht="12.75" customHeight="1">
      <c r="A74" s="101">
        <v>6</v>
      </c>
      <c r="B74" s="102" t="s">
        <v>151</v>
      </c>
      <c r="C74" s="593">
        <f>C12</f>
        <v>0</v>
      </c>
      <c r="D74" s="580"/>
      <c r="E74" s="107"/>
      <c r="F74" s="107"/>
      <c r="G74" s="108"/>
    </row>
    <row r="75" spans="1:12" ht="12.75" customHeight="1">
      <c r="A75" s="101">
        <v>7</v>
      </c>
      <c r="B75" s="102" t="s">
        <v>12</v>
      </c>
      <c r="C75" s="240"/>
      <c r="D75" s="594" t="e">
        <f>VLOOKUP(C75,tabeloverenskomstnr,3,1)</f>
        <v>#N/A</v>
      </c>
      <c r="E75" s="594"/>
      <c r="F75" s="594"/>
      <c r="G75" s="595"/>
    </row>
    <row r="76" spans="1:12" ht="12.75" customHeight="1">
      <c r="A76" s="101">
        <v>8</v>
      </c>
      <c r="B76" s="102" t="s">
        <v>95</v>
      </c>
      <c r="C76" s="596"/>
      <c r="D76" s="597"/>
      <c r="E76" s="107"/>
      <c r="F76" s="107"/>
      <c r="G76" s="108"/>
    </row>
    <row r="77" spans="1:12" ht="12.75" customHeight="1">
      <c r="A77" s="223">
        <v>9</v>
      </c>
      <c r="B77" s="242" t="str">
        <f>IF(OR(C77&lt;0,C77&gt;5),"Fejl! Lønkode skal være 0 - 5","Lønkode")</f>
        <v>Lønkode</v>
      </c>
      <c r="C77" s="98"/>
      <c r="D77" s="111" t="s">
        <v>299</v>
      </c>
      <c r="E77" s="112"/>
      <c r="F77" s="112"/>
      <c r="G77" s="134"/>
      <c r="K77" s="100" t="s">
        <v>273</v>
      </c>
      <c r="L77" s="100">
        <f>VLOOKUP(LønkodeRåd2,TabelPctReg,2)</f>
        <v>31.779800000000002</v>
      </c>
    </row>
    <row r="78" spans="1:12" ht="12.75" customHeight="1">
      <c r="A78" s="101"/>
      <c r="B78" s="242"/>
      <c r="C78" s="242"/>
      <c r="D78" s="266" t="s">
        <v>300</v>
      </c>
      <c r="E78" s="275"/>
      <c r="F78" s="275"/>
      <c r="G78" s="132"/>
    </row>
    <row r="79" spans="1:12" ht="12.75" customHeight="1">
      <c r="A79" s="101">
        <v>10</v>
      </c>
      <c r="B79" s="242" t="s">
        <v>270</v>
      </c>
      <c r="C79" s="98"/>
      <c r="D79" s="589" t="s">
        <v>266</v>
      </c>
      <c r="E79" s="590"/>
      <c r="F79" s="107"/>
      <c r="G79" s="108"/>
      <c r="K79" s="252"/>
      <c r="L79" s="252"/>
    </row>
    <row r="80" spans="1:12" ht="12.75" customHeight="1"/>
    <row r="81" spans="1:6" ht="12.75" customHeight="1">
      <c r="A81" s="82" t="s">
        <v>78</v>
      </c>
    </row>
    <row r="82" spans="1:6" ht="12.75" customHeight="1"/>
    <row r="83" spans="1:6" ht="12.75" customHeight="1">
      <c r="A83" s="111"/>
      <c r="B83" s="112"/>
      <c r="C83" s="228" t="s">
        <v>162</v>
      </c>
      <c r="D83" s="228" t="s">
        <v>1</v>
      </c>
      <c r="E83" s="228" t="s">
        <v>234</v>
      </c>
      <c r="F83" s="228" t="s">
        <v>235</v>
      </c>
    </row>
    <row r="84" spans="1:6" ht="12.75" customHeight="1">
      <c r="A84" s="115"/>
      <c r="B84" s="103"/>
      <c r="C84" s="182" t="s">
        <v>163</v>
      </c>
      <c r="D84" s="230"/>
      <c r="E84" s="230"/>
      <c r="F84" s="230"/>
    </row>
    <row r="85" spans="1:6" ht="12.75" customHeight="1">
      <c r="A85" s="115"/>
      <c r="B85" s="103"/>
      <c r="C85" s="243">
        <f>VLOOKUP(LønkodeRåd2,TabelPctReg,3)</f>
        <v>36616</v>
      </c>
      <c r="D85" s="230"/>
      <c r="E85" s="244">
        <f>Dato1</f>
        <v>42370</v>
      </c>
      <c r="F85" s="244">
        <f>Dato1</f>
        <v>42370</v>
      </c>
    </row>
    <row r="86" spans="1:6" ht="12.75" customHeight="1">
      <c r="A86" s="101">
        <v>11</v>
      </c>
      <c r="B86" s="242" t="s">
        <v>4</v>
      </c>
      <c r="C86" s="199"/>
      <c r="D86" s="98"/>
      <c r="E86" s="117">
        <f>ROUND(VLOOKUP(D86,TabelLøn,StartKolonneRåd2,1)*BeskGradRåd2,2)+ROUND(C86/12*BeskGradRåd2*(1+PctRegRåd2%),2)</f>
        <v>0</v>
      </c>
      <c r="F86" s="202">
        <f>E86*12</f>
        <v>0</v>
      </c>
    </row>
    <row r="87" spans="1:6" ht="12.75" customHeight="1">
      <c r="A87" s="101">
        <v>12</v>
      </c>
      <c r="B87" s="130" t="s">
        <v>145</v>
      </c>
      <c r="C87" s="116"/>
      <c r="D87" s="104"/>
      <c r="E87" s="117"/>
      <c r="F87" s="118"/>
    </row>
    <row r="88" spans="1:6" ht="12.75" customHeight="1">
      <c r="A88" s="102"/>
      <c r="B88" s="102" t="s">
        <v>251</v>
      </c>
      <c r="C88" s="116"/>
      <c r="D88" s="98"/>
      <c r="E88" s="117">
        <f>ROUND((VLOOKUP($D$86+D88,TabelLøn,StartKolonneRåd2,1)-VLOOKUP($D$86,TabelLøn,StartKolonneRåd2,1))*BeskGradRåd2,2)</f>
        <v>0</v>
      </c>
      <c r="F88" s="202">
        <f>E88*12</f>
        <v>0</v>
      </c>
    </row>
    <row r="89" spans="1:6" ht="12.75" customHeight="1">
      <c r="A89" s="104"/>
      <c r="B89" s="102" t="s">
        <v>252</v>
      </c>
      <c r="C89" s="199"/>
      <c r="D89" s="104"/>
      <c r="E89" s="117">
        <f>ROUND(C89/12*BeskGradRåd2*(1+PctRegRåd2%),2)</f>
        <v>0</v>
      </c>
      <c r="F89" s="202">
        <f>E89*12</f>
        <v>0</v>
      </c>
    </row>
    <row r="90" spans="1:6" ht="12.75" customHeight="1">
      <c r="A90" s="101"/>
      <c r="B90" s="102" t="s">
        <v>253</v>
      </c>
      <c r="C90" s="116"/>
      <c r="D90" s="98"/>
      <c r="E90" s="117">
        <f>ROUND((VLOOKUP($D$86+D88+D90,TabelLøn,StartKolonneRåd2,1)-VLOOKUP($D$86+D88,TabelLøn,StartKolonneRåd2,1))*BeskGradRåd2,2)</f>
        <v>0</v>
      </c>
      <c r="F90" s="202">
        <f>E90*12</f>
        <v>0</v>
      </c>
    </row>
    <row r="91" spans="1:6" ht="12.75" customHeight="1">
      <c r="A91" s="106"/>
      <c r="B91" s="102" t="s">
        <v>254</v>
      </c>
      <c r="C91" s="199"/>
      <c r="D91" s="104"/>
      <c r="E91" s="117">
        <f>ROUND(C91/12*BeskGradRåd2*(1+PctRegRåd2%),2)</f>
        <v>0</v>
      </c>
      <c r="F91" s="202">
        <f>E91*12</f>
        <v>0</v>
      </c>
    </row>
    <row r="92" spans="1:6" ht="12.75" customHeight="1">
      <c r="A92" s="106"/>
      <c r="B92" s="102" t="s">
        <v>250</v>
      </c>
      <c r="C92" s="199"/>
      <c r="D92" s="104"/>
      <c r="E92" s="117">
        <f>ROUND(C92/12*BeskGradRåd2*(1+PctRegRåd2%),2)</f>
        <v>0</v>
      </c>
      <c r="F92" s="202">
        <f>E92*12</f>
        <v>0</v>
      </c>
    </row>
    <row r="93" spans="1:6" ht="12.75" customHeight="1">
      <c r="A93" s="223">
        <v>13</v>
      </c>
      <c r="B93" s="102" t="s">
        <v>146</v>
      </c>
      <c r="C93" s="116"/>
      <c r="D93" s="102"/>
      <c r="E93" s="136"/>
      <c r="F93" s="137"/>
    </row>
    <row r="94" spans="1:6" ht="12.75" customHeight="1">
      <c r="A94" s="101"/>
      <c r="B94" s="102" t="s">
        <v>251</v>
      </c>
      <c r="C94" s="116"/>
      <c r="D94" s="98"/>
      <c r="E94" s="117">
        <f>ROUND((VLOOKUP($D$86+D88+D90+D94,TabelLøn,StartKolonneRåd2,1)-VLOOKUP($D$86+D88+D90,TabelLøn,StartKolonneRåd2,1))*BeskGradRåd2,2)</f>
        <v>0</v>
      </c>
      <c r="F94" s="202">
        <f>E94*12</f>
        <v>0</v>
      </c>
    </row>
    <row r="95" spans="1:6" ht="12.75" customHeight="1">
      <c r="A95" s="104"/>
      <c r="B95" s="102" t="s">
        <v>252</v>
      </c>
      <c r="C95" s="199"/>
      <c r="D95" s="104"/>
      <c r="E95" s="117">
        <f>ROUND(C95/12*BeskGradRåd2*(1+PctRegRåd2%),2)</f>
        <v>0</v>
      </c>
      <c r="F95" s="202">
        <f>E95*12</f>
        <v>0</v>
      </c>
    </row>
    <row r="96" spans="1:6" ht="12.75" customHeight="1">
      <c r="A96" s="101"/>
      <c r="B96" s="102" t="s">
        <v>253</v>
      </c>
      <c r="C96" s="116"/>
      <c r="D96" s="98"/>
      <c r="E96" s="117">
        <f>ROUND((VLOOKUP(SUM($D$86:D96),TabelLøn,StartKolonneRåd2,1)-VLOOKUP(SUM($D$86:D94),TabelLøn,StartKolonneRåd2,1))*BeskGradRåd2,2)</f>
        <v>0</v>
      </c>
      <c r="F96" s="202">
        <f>E96*12</f>
        <v>0</v>
      </c>
    </row>
    <row r="97" spans="1:12" ht="12.75" customHeight="1">
      <c r="A97" s="104"/>
      <c r="B97" s="102" t="s">
        <v>254</v>
      </c>
      <c r="C97" s="199"/>
      <c r="D97" s="104"/>
      <c r="E97" s="117">
        <f>ROUND(C97/12*BeskGradRåd2*(1+PctRegRåd2%),2)</f>
        <v>0</v>
      </c>
      <c r="F97" s="202">
        <f>E97*12</f>
        <v>0</v>
      </c>
    </row>
    <row r="98" spans="1:12" ht="12.75" customHeight="1">
      <c r="A98" s="104"/>
      <c r="B98" s="102" t="s">
        <v>250</v>
      </c>
      <c r="C98" s="199"/>
      <c r="D98" s="104"/>
      <c r="E98" s="117">
        <f>ROUND(C98/12*BeskGradRåd2*(1+PctRegRåd2%),2)</f>
        <v>0</v>
      </c>
      <c r="F98" s="202">
        <f>E98*12</f>
        <v>0</v>
      </c>
    </row>
    <row r="99" spans="1:12" ht="12.75" customHeight="1">
      <c r="A99" s="101">
        <v>14</v>
      </c>
      <c r="B99" s="109" t="s">
        <v>13</v>
      </c>
      <c r="C99" s="116"/>
      <c r="D99" s="104"/>
      <c r="E99" s="117"/>
      <c r="F99" s="118"/>
    </row>
    <row r="100" spans="1:12" ht="12.75" customHeight="1">
      <c r="A100" s="101"/>
      <c r="B100" s="109" t="s">
        <v>255</v>
      </c>
      <c r="C100" s="199"/>
      <c r="D100" s="104"/>
      <c r="E100" s="117">
        <f>ROUND(C100/12*BeskGradRåd2*(1+PctRegRåd2%),2)</f>
        <v>0</v>
      </c>
      <c r="F100" s="202">
        <f>E100*12</f>
        <v>0</v>
      </c>
    </row>
    <row r="101" spans="1:12" ht="12.75" customHeight="1">
      <c r="A101" s="104"/>
      <c r="B101" s="109" t="s">
        <v>250</v>
      </c>
      <c r="C101" s="199"/>
      <c r="D101" s="104"/>
      <c r="E101" s="117">
        <f>ROUND(C101/12*BeskGradRåd2*(1+PctRegRåd2%),2)</f>
        <v>0</v>
      </c>
      <c r="F101" s="202">
        <f>E101*12</f>
        <v>0</v>
      </c>
      <c r="K101" s="252"/>
      <c r="L101" s="252"/>
    </row>
    <row r="102" spans="1:12" ht="12.75" customHeight="1">
      <c r="A102" s="104"/>
      <c r="B102" s="256" t="s">
        <v>249</v>
      </c>
      <c r="C102" s="117">
        <f>SUM(C86:C101)</f>
        <v>0</v>
      </c>
      <c r="D102" s="119">
        <f>SUM(D86:D101)</f>
        <v>0</v>
      </c>
      <c r="E102" s="117">
        <f>SUM(E86:E101)</f>
        <v>0</v>
      </c>
      <c r="F102" s="117">
        <f>SUM(F86:F101)</f>
        <v>0</v>
      </c>
      <c r="K102" s="252" t="s">
        <v>236</v>
      </c>
      <c r="L102" s="252" t="s">
        <v>22</v>
      </c>
    </row>
    <row r="103" spans="1:12" ht="12.75" customHeight="1">
      <c r="A103" s="101">
        <v>15</v>
      </c>
      <c r="B103" s="102" t="s">
        <v>239</v>
      </c>
      <c r="C103" s="116"/>
      <c r="D103" s="104"/>
      <c r="E103" s="117">
        <f>ROUND(VLOOKUP(D104,TabelLønninger,VLOOKUP(LønkodeRåd2,TabelPensgivLøn,2))*PensionsProcentTilgang/100/12*BeskGradRåd2,2)+L103</f>
        <v>0</v>
      </c>
      <c r="F103" s="202">
        <f>E103*12</f>
        <v>0</v>
      </c>
      <c r="K103" s="117">
        <f>C102-C92-C98-C101</f>
        <v>0</v>
      </c>
      <c r="L103" s="117">
        <f>ROUND(K103/12*BeskGradRåd2*(1+PctRegRåd2%)*PensionsProcentTilgang/100,2)</f>
        <v>0</v>
      </c>
    </row>
    <row r="104" spans="1:12" ht="12.75" customHeight="1">
      <c r="A104" s="101">
        <v>16</v>
      </c>
      <c r="B104" s="256" t="s">
        <v>246</v>
      </c>
      <c r="C104" s="117">
        <f>SUM(C102:C103)</f>
        <v>0</v>
      </c>
      <c r="D104" s="119">
        <f>SUM(D102:D103)</f>
        <v>0</v>
      </c>
      <c r="E104" s="117">
        <f>SUM(E102:E103)</f>
        <v>0</v>
      </c>
      <c r="F104" s="117">
        <f>SUM(F102:F103)</f>
        <v>0</v>
      </c>
    </row>
    <row r="105" spans="1:12" ht="12.75" customHeight="1"/>
    <row r="106" spans="1:12" ht="12.75" customHeight="1">
      <c r="A106" s="601" t="s">
        <v>213</v>
      </c>
      <c r="B106" s="602"/>
      <c r="C106" s="602"/>
      <c r="D106" s="602"/>
      <c r="E106" s="602"/>
      <c r="F106" s="602"/>
      <c r="G106" s="603"/>
    </row>
    <row r="107" spans="1:12" ht="12.75" customHeight="1">
      <c r="A107" s="584"/>
      <c r="B107" s="585"/>
      <c r="C107" s="585"/>
      <c r="D107" s="585"/>
      <c r="E107" s="585"/>
      <c r="F107" s="585"/>
      <c r="G107" s="586"/>
    </row>
    <row r="108" spans="1:12" ht="12.75" customHeight="1">
      <c r="A108" s="581"/>
      <c r="B108" s="582"/>
      <c r="C108" s="582"/>
      <c r="D108" s="582"/>
      <c r="E108" s="582"/>
      <c r="F108" s="582"/>
      <c r="G108" s="583"/>
    </row>
    <row r="109" spans="1:12" ht="12.75" customHeight="1">
      <c r="A109" s="581"/>
      <c r="B109" s="582"/>
      <c r="C109" s="582"/>
      <c r="D109" s="582"/>
      <c r="E109" s="582"/>
      <c r="F109" s="582"/>
      <c r="G109" s="583"/>
    </row>
    <row r="110" spans="1:12" ht="12.75" customHeight="1">
      <c r="A110" s="581"/>
      <c r="B110" s="582"/>
      <c r="C110" s="582"/>
      <c r="D110" s="582"/>
      <c r="E110" s="582"/>
      <c r="F110" s="582"/>
      <c r="G110" s="583"/>
    </row>
    <row r="111" spans="1:12" ht="12.75" customHeight="1">
      <c r="A111" s="581"/>
      <c r="B111" s="582"/>
      <c r="C111" s="582"/>
      <c r="D111" s="582"/>
      <c r="E111" s="582"/>
      <c r="F111" s="582"/>
      <c r="G111" s="583"/>
    </row>
    <row r="112" spans="1:12" ht="12.75" customHeight="1">
      <c r="A112" s="598"/>
      <c r="B112" s="599"/>
      <c r="C112" s="599"/>
      <c r="D112" s="599"/>
      <c r="E112" s="599"/>
      <c r="F112" s="599"/>
      <c r="G112" s="600"/>
    </row>
    <row r="113" spans="1:7" ht="12.75" customHeight="1"/>
    <row r="114" spans="1:7" ht="12.75" customHeight="1">
      <c r="A114" s="110" t="s">
        <v>154</v>
      </c>
    </row>
    <row r="115" spans="1:7" ht="12.75" customHeight="1">
      <c r="A115" s="100" t="s">
        <v>155</v>
      </c>
    </row>
    <row r="116" spans="1:7" ht="12.75" customHeight="1">
      <c r="A116" s="100" t="s">
        <v>14</v>
      </c>
    </row>
    <row r="117" spans="1:7" ht="12.75" customHeight="1"/>
    <row r="118" spans="1:7" ht="12.75" customHeight="1">
      <c r="A118" s="110" t="s">
        <v>241</v>
      </c>
    </row>
    <row r="119" spans="1:7" ht="12.75" customHeight="1">
      <c r="A119" s="106" t="s">
        <v>9</v>
      </c>
      <c r="B119" s="210"/>
      <c r="C119" s="107" t="s">
        <v>9</v>
      </c>
      <c r="D119" s="591"/>
      <c r="E119" s="592"/>
      <c r="F119" s="106" t="s">
        <v>9</v>
      </c>
      <c r="G119" s="210"/>
    </row>
    <row r="120" spans="1:7" ht="12.75" customHeight="1">
      <c r="A120" s="138"/>
      <c r="B120" s="139"/>
      <c r="C120" s="103"/>
      <c r="D120" s="103"/>
      <c r="E120" s="103"/>
      <c r="F120" s="138"/>
      <c r="G120" s="139"/>
    </row>
    <row r="121" spans="1:7" ht="12.75" customHeight="1">
      <c r="A121" s="138"/>
      <c r="B121" s="139"/>
      <c r="C121" s="103"/>
      <c r="D121" s="103"/>
      <c r="E121" s="103"/>
      <c r="F121" s="138"/>
      <c r="G121" s="139"/>
    </row>
    <row r="122" spans="1:7" ht="12.75" customHeight="1">
      <c r="A122" s="109" t="s">
        <v>15</v>
      </c>
      <c r="B122" s="108"/>
      <c r="C122" s="130" t="s">
        <v>16</v>
      </c>
      <c r="D122" s="130"/>
      <c r="E122" s="107"/>
      <c r="F122" s="109" t="s">
        <v>17</v>
      </c>
      <c r="G122" s="140"/>
    </row>
    <row r="123" spans="1:7" ht="12.75" customHeight="1"/>
    <row r="124" spans="1:7" ht="12.75" customHeight="1">
      <c r="A124" s="110" t="s">
        <v>297</v>
      </c>
    </row>
    <row r="125" spans="1:7" ht="12.75" customHeight="1"/>
    <row r="126" spans="1:7" ht="12.75" customHeight="1"/>
    <row r="127" spans="1:7" ht="12.75" customHeight="1">
      <c r="A127" s="101" t="s">
        <v>66</v>
      </c>
      <c r="B127" s="245">
        <f>C65</f>
        <v>0</v>
      </c>
    </row>
    <row r="128" spans="1:7" ht="12.75" customHeight="1"/>
    <row r="129" spans="1:5" ht="12.75" customHeight="1">
      <c r="A129" s="141" t="s">
        <v>81</v>
      </c>
      <c r="B129" s="141"/>
      <c r="C129" s="141"/>
      <c r="D129" s="142"/>
      <c r="E129" s="142"/>
    </row>
    <row r="130" spans="1:5" ht="12.75" customHeight="1">
      <c r="A130" s="142"/>
      <c r="B130" s="142"/>
      <c r="C130" s="142"/>
      <c r="D130" s="142"/>
      <c r="E130" s="142"/>
    </row>
    <row r="131" spans="1:5" ht="12.75" customHeight="1">
      <c r="A131" s="183" t="s">
        <v>82</v>
      </c>
      <c r="B131" s="186"/>
      <c r="C131" s="233" t="s">
        <v>162</v>
      </c>
      <c r="D131" s="233" t="s">
        <v>1</v>
      </c>
      <c r="E131" s="142"/>
    </row>
    <row r="132" spans="1:5" ht="12.75" customHeight="1">
      <c r="A132" s="226"/>
      <c r="B132" s="227"/>
      <c r="C132" s="234" t="s">
        <v>163</v>
      </c>
      <c r="D132" s="234"/>
      <c r="E132" s="142"/>
    </row>
    <row r="133" spans="1:5" ht="12.75" customHeight="1">
      <c r="A133" s="184"/>
      <c r="B133" s="187"/>
      <c r="C133" s="243">
        <f>VLOOKUP(LønkodeRåd2,TabelPctReg,3)</f>
        <v>36616</v>
      </c>
      <c r="D133" s="135"/>
      <c r="E133" s="142"/>
    </row>
    <row r="134" spans="1:5" ht="12.75" customHeight="1">
      <c r="A134" s="193" t="s">
        <v>4</v>
      </c>
      <c r="B134" s="132"/>
      <c r="C134" s="205">
        <f>C86</f>
        <v>0</v>
      </c>
      <c r="D134" s="251">
        <f>D86</f>
        <v>0</v>
      </c>
      <c r="E134" s="142"/>
    </row>
    <row r="135" spans="1:5" ht="12.75" customHeight="1">
      <c r="A135" s="193" t="s">
        <v>83</v>
      </c>
      <c r="B135" s="108"/>
      <c r="C135" s="199"/>
      <c r="D135" s="188"/>
      <c r="E135" s="142"/>
    </row>
    <row r="136" spans="1:5" ht="12.75" customHeight="1">
      <c r="A136" s="185"/>
      <c r="B136" s="99"/>
      <c r="C136" s="199"/>
      <c r="D136" s="188"/>
      <c r="E136" s="142"/>
    </row>
    <row r="137" spans="1:5" ht="12.75" customHeight="1">
      <c r="A137" s="185"/>
      <c r="B137" s="99"/>
      <c r="C137" s="199"/>
      <c r="D137" s="188"/>
      <c r="E137" s="142"/>
    </row>
    <row r="138" spans="1:5" ht="12.75" customHeight="1">
      <c r="A138" s="185"/>
      <c r="B138" s="99"/>
      <c r="C138" s="199"/>
      <c r="D138" s="188"/>
      <c r="E138" s="142"/>
    </row>
    <row r="139" spans="1:5" ht="12.75" customHeight="1">
      <c r="A139" s="185"/>
      <c r="B139" s="99"/>
      <c r="C139" s="199"/>
      <c r="D139" s="188"/>
      <c r="E139" s="142"/>
    </row>
    <row r="140" spans="1:5" ht="12.75" customHeight="1">
      <c r="A140" s="185"/>
      <c r="B140" s="99"/>
      <c r="C140" s="199"/>
      <c r="D140" s="188"/>
      <c r="E140" s="142"/>
    </row>
    <row r="141" spans="1:5" ht="12.75" customHeight="1">
      <c r="A141" s="185"/>
      <c r="B141" s="99"/>
      <c r="C141" s="199"/>
      <c r="D141" s="188"/>
      <c r="E141" s="142"/>
    </row>
    <row r="142" spans="1:5" ht="12.75" customHeight="1">
      <c r="A142" s="185"/>
      <c r="B142" s="99"/>
      <c r="C142" s="199"/>
      <c r="D142" s="188"/>
      <c r="E142" s="142"/>
    </row>
    <row r="143" spans="1:5" ht="12.75" customHeight="1">
      <c r="A143" s="185"/>
      <c r="B143" s="99"/>
      <c r="C143" s="199"/>
      <c r="D143" s="188"/>
      <c r="E143" s="142"/>
    </row>
    <row r="144" spans="1:5" ht="12.75" customHeight="1">
      <c r="A144" s="185"/>
      <c r="B144" s="99"/>
      <c r="C144" s="199"/>
      <c r="D144" s="188"/>
      <c r="E144" s="142"/>
    </row>
    <row r="145" spans="1:5" ht="12.75" customHeight="1">
      <c r="A145" s="193" t="s">
        <v>84</v>
      </c>
      <c r="B145" s="108"/>
      <c r="C145" s="199"/>
      <c r="D145" s="188"/>
      <c r="E145" s="142"/>
    </row>
    <row r="146" spans="1:5" ht="12.75" customHeight="1">
      <c r="A146" s="185"/>
      <c r="B146" s="99"/>
      <c r="C146" s="199"/>
      <c r="D146" s="188"/>
      <c r="E146" s="142"/>
    </row>
    <row r="147" spans="1:5" ht="12.75" customHeight="1">
      <c r="A147" s="185"/>
      <c r="B147" s="99"/>
      <c r="C147" s="199"/>
      <c r="D147" s="188"/>
      <c r="E147" s="142"/>
    </row>
    <row r="148" spans="1:5" ht="12.75" customHeight="1">
      <c r="A148" s="185"/>
      <c r="B148" s="99"/>
      <c r="C148" s="199"/>
      <c r="D148" s="188"/>
      <c r="E148" s="142"/>
    </row>
    <row r="149" spans="1:5" ht="12.75" customHeight="1">
      <c r="A149" s="185"/>
      <c r="B149" s="99"/>
      <c r="C149" s="199"/>
      <c r="D149" s="188"/>
      <c r="E149" s="142"/>
    </row>
    <row r="150" spans="1:5" ht="12.75" customHeight="1">
      <c r="A150" s="185"/>
      <c r="B150" s="99"/>
      <c r="C150" s="199"/>
      <c r="D150" s="188"/>
      <c r="E150" s="142"/>
    </row>
    <row r="151" spans="1:5" ht="12.75" customHeight="1">
      <c r="A151" s="185"/>
      <c r="B151" s="99"/>
      <c r="C151" s="199"/>
      <c r="D151" s="188"/>
      <c r="E151" s="142"/>
    </row>
    <row r="152" spans="1:5" ht="12.75" customHeight="1">
      <c r="A152" s="185"/>
      <c r="B152" s="99"/>
      <c r="C152" s="199"/>
      <c r="D152" s="188"/>
      <c r="E152" s="142"/>
    </row>
    <row r="153" spans="1:5" ht="12.75" customHeight="1">
      <c r="A153" s="185"/>
      <c r="B153" s="99"/>
      <c r="C153" s="199"/>
      <c r="D153" s="188"/>
      <c r="E153" s="142"/>
    </row>
    <row r="154" spans="1:5" ht="12.75" customHeight="1">
      <c r="A154" s="185"/>
      <c r="B154" s="99"/>
      <c r="C154" s="199"/>
      <c r="D154" s="188"/>
      <c r="E154" s="142"/>
    </row>
    <row r="155" spans="1:5" ht="12.75" customHeight="1">
      <c r="A155" s="193" t="s">
        <v>85</v>
      </c>
      <c r="B155" s="108"/>
      <c r="C155" s="199"/>
      <c r="D155" s="188"/>
      <c r="E155" s="142"/>
    </row>
    <row r="156" spans="1:5" ht="12.75" customHeight="1">
      <c r="A156" s="185"/>
      <c r="B156" s="99"/>
      <c r="C156" s="199"/>
      <c r="D156" s="188"/>
      <c r="E156" s="142"/>
    </row>
    <row r="157" spans="1:5" ht="12.75" customHeight="1">
      <c r="A157" s="185"/>
      <c r="B157" s="99"/>
      <c r="C157" s="199"/>
      <c r="D157" s="188"/>
      <c r="E157" s="142"/>
    </row>
    <row r="158" spans="1:5" ht="12.75" customHeight="1">
      <c r="A158" s="185"/>
      <c r="B158" s="99"/>
      <c r="C158" s="199"/>
      <c r="D158" s="188"/>
      <c r="E158" s="142"/>
    </row>
    <row r="159" spans="1:5" ht="12.75" customHeight="1">
      <c r="A159" s="185"/>
      <c r="B159" s="99"/>
      <c r="C159" s="199"/>
      <c r="D159" s="188"/>
      <c r="E159" s="142"/>
    </row>
    <row r="160" spans="1:5" ht="12.75" customHeight="1">
      <c r="A160" s="185"/>
      <c r="B160" s="99"/>
      <c r="C160" s="199"/>
      <c r="D160" s="188"/>
      <c r="E160" s="142"/>
    </row>
    <row r="161" spans="1:5" ht="12.75" customHeight="1">
      <c r="A161" s="185"/>
      <c r="B161" s="99"/>
      <c r="C161" s="199"/>
      <c r="D161" s="188"/>
      <c r="E161" s="142"/>
    </row>
    <row r="162" spans="1:5" ht="12.75" customHeight="1">
      <c r="A162" s="185"/>
      <c r="B162" s="99"/>
      <c r="C162" s="199"/>
      <c r="D162" s="188"/>
      <c r="E162" s="142"/>
    </row>
    <row r="163" spans="1:5" ht="12.75" customHeight="1">
      <c r="A163" s="185"/>
      <c r="B163" s="99"/>
      <c r="C163" s="199"/>
      <c r="D163" s="188"/>
      <c r="E163" s="142"/>
    </row>
    <row r="164" spans="1:5" ht="12.75" customHeight="1">
      <c r="A164" s="185"/>
      <c r="B164" s="99"/>
      <c r="C164" s="199"/>
      <c r="D164" s="188"/>
      <c r="E164" s="142"/>
    </row>
    <row r="165" spans="1:5" ht="12.75" customHeight="1">
      <c r="A165" s="193" t="s">
        <v>86</v>
      </c>
      <c r="B165" s="108"/>
      <c r="C165" s="199"/>
      <c r="D165" s="188"/>
      <c r="E165" s="142"/>
    </row>
    <row r="166" spans="1:5" ht="12.75" customHeight="1">
      <c r="A166" s="185"/>
      <c r="B166" s="99"/>
      <c r="C166" s="199"/>
      <c r="D166" s="188"/>
      <c r="E166" s="142"/>
    </row>
    <row r="167" spans="1:5" ht="12.75" customHeight="1">
      <c r="A167" s="185"/>
      <c r="B167" s="99"/>
      <c r="C167" s="199"/>
      <c r="D167" s="188"/>
      <c r="E167" s="142"/>
    </row>
    <row r="168" spans="1:5" ht="12.75" customHeight="1">
      <c r="A168" s="185"/>
      <c r="B168" s="99"/>
      <c r="C168" s="199"/>
      <c r="D168" s="188"/>
      <c r="E168" s="142"/>
    </row>
    <row r="169" spans="1:5" ht="12.75" customHeight="1">
      <c r="A169" s="185"/>
      <c r="B169" s="99"/>
      <c r="C169" s="199"/>
      <c r="D169" s="188"/>
      <c r="E169" s="142"/>
    </row>
    <row r="170" spans="1:5" ht="12.75" customHeight="1">
      <c r="A170" s="185"/>
      <c r="B170" s="99"/>
      <c r="C170" s="199"/>
      <c r="D170" s="188"/>
      <c r="E170" s="142"/>
    </row>
    <row r="171" spans="1:5" ht="12.75" customHeight="1">
      <c r="A171" s="185"/>
      <c r="B171" s="99"/>
      <c r="C171" s="199"/>
      <c r="D171" s="188"/>
      <c r="E171" s="142"/>
    </row>
    <row r="172" spans="1:5" ht="12.75" customHeight="1">
      <c r="A172" s="185"/>
      <c r="B172" s="99"/>
      <c r="C172" s="199"/>
      <c r="D172" s="188"/>
      <c r="E172" s="142"/>
    </row>
    <row r="173" spans="1:5" ht="12.75" customHeight="1">
      <c r="A173" s="185"/>
      <c r="B173" s="99"/>
      <c r="C173" s="199"/>
      <c r="D173" s="188"/>
      <c r="E173" s="142"/>
    </row>
    <row r="174" spans="1:5" ht="12.75" customHeight="1">
      <c r="A174" s="185"/>
      <c r="B174" s="99"/>
      <c r="C174" s="199"/>
      <c r="D174" s="188"/>
      <c r="E174" s="142"/>
    </row>
    <row r="175" spans="1:5" ht="12.75" customHeight="1">
      <c r="A175" s="193" t="s">
        <v>6</v>
      </c>
      <c r="B175" s="108"/>
      <c r="C175" s="199"/>
      <c r="D175" s="188"/>
      <c r="E175" s="142"/>
    </row>
    <row r="176" spans="1:5" ht="12.75" customHeight="1">
      <c r="A176" s="194" t="s">
        <v>168</v>
      </c>
      <c r="B176" s="134"/>
      <c r="C176" s="200"/>
      <c r="D176" s="189"/>
      <c r="E176" s="142"/>
    </row>
    <row r="177" spans="1:5" ht="12.75" customHeight="1">
      <c r="A177" s="192" t="s">
        <v>87</v>
      </c>
      <c r="B177" s="191"/>
      <c r="C177" s="117">
        <f>SUM(C134:C176)</f>
        <v>0</v>
      </c>
      <c r="D177" s="190">
        <f>SUM(D134:D176)</f>
        <v>0</v>
      </c>
      <c r="E177" s="142"/>
    </row>
  </sheetData>
  <sheetProtection password="CF28" sheet="1"/>
  <mergeCells count="35">
    <mergeCell ref="D67:G67"/>
    <mergeCell ref="A55:G55"/>
    <mergeCell ref="A56:G56"/>
    <mergeCell ref="A57:G57"/>
    <mergeCell ref="C65:G65"/>
    <mergeCell ref="A59:G59"/>
    <mergeCell ref="C66:G66"/>
    <mergeCell ref="A3:G3"/>
    <mergeCell ref="A63:G63"/>
    <mergeCell ref="C5:G5"/>
    <mergeCell ref="C6:G6"/>
    <mergeCell ref="C7:G7"/>
    <mergeCell ref="C11:G11"/>
    <mergeCell ref="C12:D12"/>
    <mergeCell ref="D13:G13"/>
    <mergeCell ref="A53:G53"/>
    <mergeCell ref="D17:E17"/>
    <mergeCell ref="A58:G58"/>
    <mergeCell ref="C14:D14"/>
    <mergeCell ref="A54:G54"/>
    <mergeCell ref="D119:E119"/>
    <mergeCell ref="C74:D74"/>
    <mergeCell ref="D75:G75"/>
    <mergeCell ref="C76:D76"/>
    <mergeCell ref="A108:G108"/>
    <mergeCell ref="A109:G109"/>
    <mergeCell ref="A110:G110"/>
    <mergeCell ref="A112:G112"/>
    <mergeCell ref="A106:G106"/>
    <mergeCell ref="C69:G69"/>
    <mergeCell ref="A111:G111"/>
    <mergeCell ref="A107:G107"/>
    <mergeCell ref="C68:G68"/>
    <mergeCell ref="D79:E79"/>
    <mergeCell ref="C73:G73"/>
  </mergeCells>
  <phoneticPr fontId="0" type="noConversion"/>
  <conditionalFormatting sqref="B39:B40">
    <cfRule type="cellIs" dxfId="6" priority="1" stopIfTrue="1" operator="equal">
      <formula>"Fejl! Udfyld ENTEN kr.beløb ELLER Trin"</formula>
    </cfRule>
  </conditionalFormatting>
  <conditionalFormatting sqref="C16 B15:B16 B77 B78:C78">
    <cfRule type="cellIs" dxfId="5" priority="2" stopIfTrue="1" operator="notEqual">
      <formula>"Lønkode"</formula>
    </cfRule>
  </conditionalFormatting>
  <pageMargins left="0.31496062992125984" right="0.31496062992125984" top="0.39370078740157483" bottom="0.39370078740157483" header="0.51181102362204722" footer="0.39370078740157483"/>
  <pageSetup paperSize="9" scale="90" orientation="portrait" blackAndWhite="1" horizontalDpi="4294967292" r:id="rId1"/>
  <headerFooter alignWithMargins="0">
    <oddFooter>&amp;CSide &amp;P af  &amp;N</oddFooter>
  </headerFooter>
  <rowBreaks count="2" manualBreakCount="2">
    <brk id="60" max="7" man="1"/>
    <brk id="12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10"/>
  <dimension ref="A1:J15"/>
  <sheetViews>
    <sheetView workbookViewId="0">
      <selection activeCell="A14" sqref="A14"/>
    </sheetView>
  </sheetViews>
  <sheetFormatPr defaultRowHeight="14.25"/>
  <cols>
    <col min="1" max="1" width="40.33203125" style="511" bestFit="1" customWidth="1"/>
    <col min="2" max="2" width="13.6640625" style="511" bestFit="1" customWidth="1"/>
    <col min="3" max="3" width="22.1640625" style="511" customWidth="1"/>
    <col min="4" max="4" width="22.6640625" style="511" customWidth="1"/>
    <col min="5" max="5" width="15" style="511" customWidth="1"/>
    <col min="6" max="16384" width="9.33203125" style="511"/>
  </cols>
  <sheetData>
    <row r="1" spans="1:10" ht="15">
      <c r="A1" s="509" t="s">
        <v>762</v>
      </c>
      <c r="B1" s="510"/>
    </row>
    <row r="2" spans="1:10">
      <c r="A2" s="511" t="s">
        <v>149</v>
      </c>
      <c r="B2" s="512">
        <v>42370</v>
      </c>
      <c r="C2" s="511" t="str">
        <f>TEXT(B2,"d. mmmm åååå")</f>
        <v>1. januar 2016</v>
      </c>
      <c r="D2" s="511" t="str">
        <f>UPPER(C2)</f>
        <v>1. JANUAR 2016</v>
      </c>
      <c r="E2" s="511" t="str">
        <f>TEXT(B2,"d/m-åååå")</f>
        <v>1/1-2016</v>
      </c>
      <c r="H2" s="513" t="s">
        <v>759</v>
      </c>
      <c r="I2" s="513"/>
      <c r="J2" s="513"/>
    </row>
    <row r="3" spans="1:10">
      <c r="B3" s="514"/>
    </row>
    <row r="4" spans="1:10">
      <c r="B4" s="510"/>
    </row>
    <row r="5" spans="1:10">
      <c r="A5" s="511" t="s">
        <v>761</v>
      </c>
      <c r="B5" s="515">
        <v>31.779800000000002</v>
      </c>
      <c r="C5" s="511" t="str">
        <f>+Dato2</f>
        <v>1. januar 2016</v>
      </c>
    </row>
    <row r="6" spans="1:10">
      <c r="A6" s="511" t="s">
        <v>279</v>
      </c>
      <c r="B6" s="516">
        <v>36616</v>
      </c>
    </row>
    <row r="7" spans="1:10">
      <c r="B7" s="517"/>
    </row>
    <row r="8" spans="1:10" ht="15">
      <c r="A8" s="509" t="s">
        <v>278</v>
      </c>
      <c r="B8" s="517"/>
    </row>
    <row r="9" spans="1:10">
      <c r="A9" s="511" t="s">
        <v>149</v>
      </c>
      <c r="B9" s="514">
        <f>+Dato1</f>
        <v>42370</v>
      </c>
      <c r="C9" s="511" t="str">
        <f>TEXT(B9,"d. mmmm åååå")</f>
        <v>1. januar 2016</v>
      </c>
      <c r="D9" s="511" t="str">
        <f>UPPER(C9)</f>
        <v>1. JANUAR 2016</v>
      </c>
      <c r="E9" s="511" t="str">
        <f>TEXT(B9,"d/m-åååå")</f>
        <v>1/1-2016</v>
      </c>
    </row>
    <row r="10" spans="1:10">
      <c r="B10" s="514"/>
    </row>
    <row r="11" spans="1:10">
      <c r="A11" s="511" t="s">
        <v>761</v>
      </c>
      <c r="B11" s="518">
        <v>15.5825</v>
      </c>
      <c r="C11" s="519" t="str">
        <f>+Dato2</f>
        <v>1. januar 2016</v>
      </c>
      <c r="D11" s="520"/>
    </row>
    <row r="12" spans="1:10">
      <c r="A12" s="511" t="s">
        <v>279</v>
      </c>
      <c r="B12" s="516">
        <v>38718</v>
      </c>
    </row>
    <row r="13" spans="1:10">
      <c r="B13" s="521"/>
    </row>
    <row r="14" spans="1:10" ht="15">
      <c r="A14" s="509"/>
    </row>
    <row r="15" spans="1:10">
      <c r="A15" s="522"/>
      <c r="B15" s="523"/>
    </row>
  </sheetData>
  <sheetProtection password="CF28" sheet="1"/>
  <phoneticPr fontId="0" type="noConversion"/>
  <pageMargins left="0.75" right="0.75" top="1" bottom="1" header="0" footer="0"/>
  <pageSetup paperSize="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11"/>
  <dimension ref="A1:BE57"/>
  <sheetViews>
    <sheetView topLeftCell="A19" zoomScale="130" zoomScaleNormal="130" workbookViewId="0">
      <pane xSplit="2" topLeftCell="O1" activePane="topRight" state="frozen"/>
      <selection pane="topRight" activeCell="O23" sqref="O23"/>
    </sheetView>
  </sheetViews>
  <sheetFormatPr defaultColWidth="37.5" defaultRowHeight="13.5"/>
  <cols>
    <col min="1" max="1" width="10" style="555" customWidth="1"/>
    <col min="2" max="2" width="61.5" style="556" customWidth="1"/>
    <col min="3" max="3" width="87.5" style="556" customWidth="1"/>
    <col min="4" max="15" width="37.5" style="556" customWidth="1"/>
    <col min="16" max="16" width="27" style="556" customWidth="1"/>
    <col min="17" max="22" width="37.5" style="556" customWidth="1"/>
    <col min="23" max="23" width="37.5" style="569" customWidth="1"/>
    <col min="24" max="28" width="37.5" style="556" customWidth="1"/>
    <col min="29" max="29" width="37.5" style="557" customWidth="1"/>
    <col min="30" max="32" width="37.5" style="556" customWidth="1"/>
    <col min="33" max="33" width="37.5" style="557" customWidth="1"/>
    <col min="34" max="34" width="37.5" style="568" customWidth="1"/>
    <col min="35" max="35" width="37.5" style="557" customWidth="1"/>
    <col min="36" max="38" width="37.5" style="555" customWidth="1"/>
    <col min="39" max="16384" width="37.5" style="556"/>
  </cols>
  <sheetData>
    <row r="1" spans="1:57" s="552" customFormat="1">
      <c r="A1" s="551" t="s">
        <v>718</v>
      </c>
      <c r="B1" s="552" t="s">
        <v>719</v>
      </c>
      <c r="C1" s="552" t="s">
        <v>720</v>
      </c>
      <c r="D1" s="552">
        <v>4</v>
      </c>
      <c r="E1" s="552">
        <v>5</v>
      </c>
      <c r="F1" s="552">
        <v>6</v>
      </c>
      <c r="G1" s="552">
        <v>7</v>
      </c>
      <c r="H1" s="552">
        <v>8</v>
      </c>
      <c r="I1" s="552">
        <v>9</v>
      </c>
      <c r="J1" s="552">
        <v>10</v>
      </c>
      <c r="K1" s="552">
        <v>11</v>
      </c>
      <c r="L1" s="552">
        <v>12</v>
      </c>
      <c r="M1" s="552">
        <v>13</v>
      </c>
      <c r="N1" s="552">
        <v>14</v>
      </c>
      <c r="O1" s="552">
        <v>15</v>
      </c>
      <c r="P1" s="552">
        <v>16</v>
      </c>
      <c r="Q1" s="552">
        <v>17</v>
      </c>
      <c r="R1" s="552">
        <v>18</v>
      </c>
      <c r="S1" s="552">
        <v>19</v>
      </c>
      <c r="T1" s="552">
        <v>20</v>
      </c>
      <c r="U1" s="552">
        <v>21</v>
      </c>
      <c r="V1" s="552">
        <v>22</v>
      </c>
      <c r="W1" s="552">
        <v>23</v>
      </c>
      <c r="X1" s="552">
        <v>24</v>
      </c>
      <c r="Y1" s="552">
        <v>25</v>
      </c>
      <c r="Z1" s="552">
        <v>26</v>
      </c>
      <c r="AA1" s="552">
        <v>27</v>
      </c>
      <c r="AB1" s="552">
        <v>28</v>
      </c>
      <c r="AC1" s="552">
        <v>29</v>
      </c>
      <c r="AD1" s="552">
        <v>30</v>
      </c>
      <c r="AE1" s="552">
        <v>31</v>
      </c>
      <c r="AF1" s="552">
        <v>32</v>
      </c>
      <c r="AG1" s="552">
        <v>33</v>
      </c>
      <c r="AH1" s="553">
        <v>34</v>
      </c>
      <c r="AI1" s="554">
        <v>35</v>
      </c>
      <c r="AJ1" s="552">
        <v>36</v>
      </c>
      <c r="AK1" s="552">
        <v>37</v>
      </c>
      <c r="AL1" s="552">
        <v>38</v>
      </c>
      <c r="AM1" s="552">
        <v>39</v>
      </c>
      <c r="AN1" s="552">
        <v>40</v>
      </c>
      <c r="AO1" s="552">
        <v>41</v>
      </c>
      <c r="AP1" s="552">
        <v>42</v>
      </c>
      <c r="AQ1" s="552">
        <v>43</v>
      </c>
      <c r="AR1" s="552">
        <v>44</v>
      </c>
      <c r="AS1" s="552">
        <v>45</v>
      </c>
    </row>
    <row r="2" spans="1:57">
      <c r="A2" s="555">
        <v>3001</v>
      </c>
      <c r="B2" s="556" t="s">
        <v>417</v>
      </c>
      <c r="C2" s="556" t="s">
        <v>420</v>
      </c>
      <c r="D2" s="556" t="s">
        <v>4</v>
      </c>
      <c r="E2" s="557" t="s">
        <v>418</v>
      </c>
      <c r="F2" s="557" t="s">
        <v>422</v>
      </c>
      <c r="G2" s="557" t="s">
        <v>512</v>
      </c>
      <c r="H2" s="557" t="s">
        <v>460</v>
      </c>
      <c r="I2" s="557" t="s">
        <v>512</v>
      </c>
      <c r="J2" s="557" t="s">
        <v>463</v>
      </c>
      <c r="K2" s="557" t="s">
        <v>463</v>
      </c>
      <c r="L2" s="557" t="s">
        <v>463</v>
      </c>
      <c r="M2" s="557" t="s">
        <v>463</v>
      </c>
      <c r="N2" s="557" t="s">
        <v>463</v>
      </c>
      <c r="O2" s="557" t="s">
        <v>463</v>
      </c>
      <c r="P2" s="556" t="s">
        <v>463</v>
      </c>
      <c r="Q2" s="556" t="s">
        <v>463</v>
      </c>
      <c r="R2" s="556" t="s">
        <v>463</v>
      </c>
      <c r="S2" s="556" t="s">
        <v>463</v>
      </c>
      <c r="T2" s="556" t="s">
        <v>463</v>
      </c>
      <c r="U2" s="556" t="s">
        <v>463</v>
      </c>
      <c r="V2" s="556" t="s">
        <v>463</v>
      </c>
      <c r="W2" s="556" t="s">
        <v>463</v>
      </c>
      <c r="X2" s="556" t="s">
        <v>463</v>
      </c>
      <c r="Y2" s="556" t="s">
        <v>463</v>
      </c>
      <c r="Z2" s="556" t="s">
        <v>463</v>
      </c>
      <c r="AA2" s="556" t="s">
        <v>463</v>
      </c>
      <c r="AB2" s="556" t="s">
        <v>463</v>
      </c>
      <c r="AC2" s="557" t="s">
        <v>463</v>
      </c>
      <c r="AD2" s="556" t="s">
        <v>270</v>
      </c>
      <c r="AE2" s="556" t="s">
        <v>735</v>
      </c>
      <c r="AF2" s="556" t="s">
        <v>270</v>
      </c>
      <c r="AG2" s="556" t="s">
        <v>734</v>
      </c>
      <c r="AH2" s="558" t="s">
        <v>513</v>
      </c>
      <c r="AI2" s="559" t="s">
        <v>463</v>
      </c>
      <c r="AJ2" s="557" t="s">
        <v>514</v>
      </c>
      <c r="AK2" s="556" t="s">
        <v>463</v>
      </c>
      <c r="AL2" s="557" t="s">
        <v>515</v>
      </c>
      <c r="AM2" s="556" t="s">
        <v>463</v>
      </c>
      <c r="AN2" s="556" t="s">
        <v>516</v>
      </c>
      <c r="AO2" s="556" t="s">
        <v>463</v>
      </c>
      <c r="AP2" s="556" t="s">
        <v>468</v>
      </c>
      <c r="AQ2" s="559" t="s">
        <v>473</v>
      </c>
      <c r="AR2" s="556" t="s">
        <v>443</v>
      </c>
      <c r="AS2" s="556" t="s">
        <v>463</v>
      </c>
      <c r="AV2" s="555" t="s">
        <v>344</v>
      </c>
      <c r="AW2" s="555"/>
      <c r="AX2" s="560">
        <v>0.1852</v>
      </c>
      <c r="AY2" s="555" t="s">
        <v>345</v>
      </c>
      <c r="AZ2" s="556" t="s">
        <v>376</v>
      </c>
      <c r="BB2" s="556" t="s">
        <v>443</v>
      </c>
      <c r="BC2" s="556" t="s">
        <v>421</v>
      </c>
    </row>
    <row r="3" spans="1:57">
      <c r="A3" s="555">
        <v>3011</v>
      </c>
      <c r="B3" s="556" t="s">
        <v>746</v>
      </c>
      <c r="D3" s="556" t="s">
        <v>4</v>
      </c>
      <c r="E3" s="556" t="s">
        <v>736</v>
      </c>
      <c r="F3" s="556" t="s">
        <v>4</v>
      </c>
      <c r="G3" s="556" t="s">
        <v>463</v>
      </c>
      <c r="H3" s="556" t="s">
        <v>463</v>
      </c>
      <c r="I3" s="556" t="s">
        <v>737</v>
      </c>
      <c r="J3" s="557" t="s">
        <v>463</v>
      </c>
      <c r="K3" s="556" t="s">
        <v>738</v>
      </c>
      <c r="L3" s="557" t="s">
        <v>422</v>
      </c>
      <c r="M3" s="556" t="s">
        <v>463</v>
      </c>
      <c r="N3" s="557" t="s">
        <v>460</v>
      </c>
      <c r="O3" s="557" t="s">
        <v>463</v>
      </c>
      <c r="P3" s="556" t="s">
        <v>463</v>
      </c>
      <c r="Q3" s="556" t="s">
        <v>463</v>
      </c>
      <c r="R3" s="556" t="s">
        <v>463</v>
      </c>
      <c r="S3" s="556" t="s">
        <v>463</v>
      </c>
      <c r="T3" s="556" t="s">
        <v>463</v>
      </c>
      <c r="U3" s="556" t="s">
        <v>463</v>
      </c>
      <c r="V3" s="556" t="s">
        <v>681</v>
      </c>
      <c r="W3" s="556" t="s">
        <v>683</v>
      </c>
      <c r="X3" s="556" t="s">
        <v>463</v>
      </c>
      <c r="Y3" s="556" t="s">
        <v>682</v>
      </c>
      <c r="Z3" s="556" t="s">
        <v>463</v>
      </c>
      <c r="AA3" s="556" t="s">
        <v>463</v>
      </c>
      <c r="AB3" s="556" t="s">
        <v>463</v>
      </c>
      <c r="AC3" s="557" t="s">
        <v>463</v>
      </c>
      <c r="AD3" s="556" t="s">
        <v>463</v>
      </c>
      <c r="AE3" s="556" t="s">
        <v>463</v>
      </c>
      <c r="AF3" s="556" t="s">
        <v>270</v>
      </c>
      <c r="AG3" s="557" t="s">
        <v>463</v>
      </c>
      <c r="AH3" s="558" t="s">
        <v>466</v>
      </c>
      <c r="AI3" s="559" t="s">
        <v>463</v>
      </c>
      <c r="AJ3" s="557" t="s">
        <v>514</v>
      </c>
      <c r="AK3" s="556" t="s">
        <v>463</v>
      </c>
      <c r="AL3" s="557" t="s">
        <v>515</v>
      </c>
      <c r="AM3" s="556" t="s">
        <v>463</v>
      </c>
      <c r="AN3" s="556" t="s">
        <v>516</v>
      </c>
      <c r="AO3" s="556" t="s">
        <v>463</v>
      </c>
      <c r="AP3" s="556" t="s">
        <v>468</v>
      </c>
      <c r="AQ3" s="559" t="s">
        <v>473</v>
      </c>
      <c r="AR3" s="556" t="s">
        <v>443</v>
      </c>
      <c r="AS3" s="556" t="s">
        <v>463</v>
      </c>
      <c r="AV3" s="556" t="s">
        <v>304</v>
      </c>
      <c r="AW3" s="555"/>
      <c r="AX3" s="560">
        <v>0.17699999999999999</v>
      </c>
      <c r="AY3" s="555" t="s">
        <v>346</v>
      </c>
      <c r="AZ3" s="556" t="s">
        <v>379</v>
      </c>
      <c r="BB3" s="556" t="s">
        <v>443</v>
      </c>
      <c r="BC3" s="556" t="s">
        <v>197</v>
      </c>
    </row>
    <row r="4" spans="1:57">
      <c r="A4" s="555">
        <v>3031</v>
      </c>
      <c r="B4" s="556" t="s">
        <v>308</v>
      </c>
      <c r="C4" s="556" t="s">
        <v>541</v>
      </c>
      <c r="D4" s="556" t="s">
        <v>542</v>
      </c>
      <c r="E4" s="556" t="s">
        <v>558</v>
      </c>
      <c r="F4" s="556" t="s">
        <v>543</v>
      </c>
      <c r="G4" s="556" t="s">
        <v>544</v>
      </c>
      <c r="H4" s="557" t="s">
        <v>545</v>
      </c>
      <c r="I4" s="556" t="s">
        <v>546</v>
      </c>
      <c r="J4" s="557" t="s">
        <v>422</v>
      </c>
      <c r="K4" s="557" t="s">
        <v>547</v>
      </c>
      <c r="L4" s="557" t="s">
        <v>548</v>
      </c>
      <c r="M4" s="557" t="s">
        <v>549</v>
      </c>
      <c r="N4" s="557" t="s">
        <v>460</v>
      </c>
      <c r="O4" s="556" t="s">
        <v>508</v>
      </c>
      <c r="P4" s="556" t="s">
        <v>463</v>
      </c>
      <c r="Q4" s="556" t="s">
        <v>463</v>
      </c>
      <c r="R4" s="556" t="s">
        <v>463</v>
      </c>
      <c r="S4" s="556" t="s">
        <v>463</v>
      </c>
      <c r="T4" s="556" t="s">
        <v>463</v>
      </c>
      <c r="U4" s="556" t="s">
        <v>463</v>
      </c>
      <c r="V4" s="556" t="s">
        <v>681</v>
      </c>
      <c r="W4" s="556" t="s">
        <v>682</v>
      </c>
      <c r="X4" s="556" t="s">
        <v>550</v>
      </c>
      <c r="Y4" s="556" t="s">
        <v>551</v>
      </c>
      <c r="Z4" s="556" t="s">
        <v>463</v>
      </c>
      <c r="AA4" s="556" t="s">
        <v>552</v>
      </c>
      <c r="AB4" s="556" t="s">
        <v>463</v>
      </c>
      <c r="AC4" s="557" t="s">
        <v>553</v>
      </c>
      <c r="AD4" s="556" t="s">
        <v>554</v>
      </c>
      <c r="AE4" s="556" t="s">
        <v>555</v>
      </c>
      <c r="AF4" s="556" t="s">
        <v>463</v>
      </c>
      <c r="AG4" s="557" t="s">
        <v>553</v>
      </c>
      <c r="AH4" s="558" t="s">
        <v>466</v>
      </c>
      <c r="AI4" s="559" t="s">
        <v>556</v>
      </c>
      <c r="AJ4" s="557" t="s">
        <v>514</v>
      </c>
      <c r="AK4" s="556" t="s">
        <v>453</v>
      </c>
      <c r="AL4" s="557" t="s">
        <v>463</v>
      </c>
      <c r="AM4" s="556" t="s">
        <v>463</v>
      </c>
      <c r="AN4" s="556" t="s">
        <v>516</v>
      </c>
      <c r="AO4" s="556" t="s">
        <v>478</v>
      </c>
      <c r="AP4" s="556" t="s">
        <v>468</v>
      </c>
      <c r="AQ4" s="559" t="s">
        <v>473</v>
      </c>
      <c r="AR4" s="556" t="s">
        <v>443</v>
      </c>
      <c r="AS4" s="556" t="s">
        <v>557</v>
      </c>
      <c r="AV4" s="557" t="s">
        <v>348</v>
      </c>
      <c r="AW4" s="555" t="s">
        <v>347</v>
      </c>
      <c r="AX4" s="560">
        <v>0.14099999999999999</v>
      </c>
      <c r="AY4" s="555" t="s">
        <v>346</v>
      </c>
      <c r="AZ4" s="556" t="s">
        <v>334</v>
      </c>
      <c r="BB4" s="556" t="s">
        <v>443</v>
      </c>
      <c r="BC4" s="556" t="s">
        <v>224</v>
      </c>
    </row>
    <row r="5" spans="1:57">
      <c r="A5" s="555">
        <v>3101</v>
      </c>
      <c r="B5" s="556" t="s">
        <v>416</v>
      </c>
      <c r="D5" s="556" t="s">
        <v>4</v>
      </c>
      <c r="E5" s="556" t="s">
        <v>419</v>
      </c>
      <c r="F5" s="557" t="s">
        <v>422</v>
      </c>
      <c r="G5" s="556" t="s">
        <v>463</v>
      </c>
      <c r="H5" s="557" t="s">
        <v>460</v>
      </c>
      <c r="I5" s="556" t="s">
        <v>463</v>
      </c>
      <c r="J5" s="557" t="s">
        <v>463</v>
      </c>
      <c r="K5" s="557" t="s">
        <v>463</v>
      </c>
      <c r="L5" s="557" t="s">
        <v>463</v>
      </c>
      <c r="M5" s="557" t="s">
        <v>463</v>
      </c>
      <c r="N5" s="557" t="s">
        <v>463</v>
      </c>
      <c r="O5" s="557" t="s">
        <v>463</v>
      </c>
      <c r="P5" s="556" t="s">
        <v>463</v>
      </c>
      <c r="Q5" s="556" t="s">
        <v>463</v>
      </c>
      <c r="R5" s="556" t="s">
        <v>463</v>
      </c>
      <c r="S5" s="556" t="s">
        <v>463</v>
      </c>
      <c r="T5" s="556" t="s">
        <v>463</v>
      </c>
      <c r="U5" s="556" t="s">
        <v>463</v>
      </c>
      <c r="V5" s="556" t="s">
        <v>681</v>
      </c>
      <c r="W5" s="556" t="s">
        <v>683</v>
      </c>
      <c r="X5" s="556" t="s">
        <v>713</v>
      </c>
      <c r="Y5" s="556" t="s">
        <v>684</v>
      </c>
      <c r="Z5" s="556" t="s">
        <v>463</v>
      </c>
      <c r="AA5" s="556" t="s">
        <v>463</v>
      </c>
      <c r="AB5" s="556" t="s">
        <v>463</v>
      </c>
      <c r="AC5" s="557" t="s">
        <v>463</v>
      </c>
      <c r="AD5" s="556" t="s">
        <v>463</v>
      </c>
      <c r="AE5" s="556" t="s">
        <v>463</v>
      </c>
      <c r="AF5" s="556" t="s">
        <v>270</v>
      </c>
      <c r="AG5" s="557" t="s">
        <v>463</v>
      </c>
      <c r="AH5" s="558" t="s">
        <v>466</v>
      </c>
      <c r="AI5" s="559" t="s">
        <v>463</v>
      </c>
      <c r="AJ5" s="557" t="s">
        <v>514</v>
      </c>
      <c r="AK5" s="556" t="s">
        <v>463</v>
      </c>
      <c r="AL5" s="557" t="s">
        <v>515</v>
      </c>
      <c r="AM5" s="556" t="s">
        <v>463</v>
      </c>
      <c r="AN5" s="556" t="s">
        <v>516</v>
      </c>
      <c r="AO5" s="556" t="s">
        <v>463</v>
      </c>
      <c r="AP5" s="556" t="s">
        <v>468</v>
      </c>
      <c r="AQ5" s="559" t="s">
        <v>473</v>
      </c>
      <c r="AR5" s="556" t="s">
        <v>443</v>
      </c>
      <c r="AS5" s="556" t="s">
        <v>463</v>
      </c>
      <c r="AV5" s="557" t="s">
        <v>349</v>
      </c>
      <c r="AW5" s="555"/>
      <c r="AX5" s="560">
        <v>0.17499999999999999</v>
      </c>
      <c r="AY5" s="555" t="s">
        <v>346</v>
      </c>
      <c r="AZ5" s="556" t="s">
        <v>350</v>
      </c>
      <c r="BA5" s="556" t="s">
        <v>362</v>
      </c>
      <c r="BB5" s="556" t="s">
        <v>443</v>
      </c>
      <c r="BC5" s="556" t="s">
        <v>198</v>
      </c>
    </row>
    <row r="6" spans="1:57">
      <c r="A6" s="555">
        <v>3112</v>
      </c>
      <c r="B6" s="556" t="s">
        <v>571</v>
      </c>
      <c r="C6" s="556" t="s">
        <v>559</v>
      </c>
      <c r="D6" s="556" t="s">
        <v>560</v>
      </c>
      <c r="E6" s="556" t="s">
        <v>572</v>
      </c>
      <c r="F6" s="557" t="s">
        <v>561</v>
      </c>
      <c r="G6" s="556" t="s">
        <v>562</v>
      </c>
      <c r="H6" s="557" t="s">
        <v>563</v>
      </c>
      <c r="I6" s="556" t="s">
        <v>564</v>
      </c>
      <c r="J6" s="557" t="s">
        <v>565</v>
      </c>
      <c r="K6" s="557" t="s">
        <v>566</v>
      </c>
      <c r="L6" s="557" t="s">
        <v>422</v>
      </c>
      <c r="M6" s="557" t="s">
        <v>567</v>
      </c>
      <c r="N6" s="557" t="s">
        <v>460</v>
      </c>
      <c r="O6" s="557" t="s">
        <v>568</v>
      </c>
      <c r="P6" s="556" t="s">
        <v>463</v>
      </c>
      <c r="Q6" s="556" t="s">
        <v>463</v>
      </c>
      <c r="R6" s="556" t="s">
        <v>463</v>
      </c>
      <c r="S6" s="556" t="s">
        <v>463</v>
      </c>
      <c r="T6" s="556" t="s">
        <v>463</v>
      </c>
      <c r="U6" s="556" t="s">
        <v>463</v>
      </c>
      <c r="V6" s="556" t="s">
        <v>463</v>
      </c>
      <c r="W6" s="556" t="s">
        <v>463</v>
      </c>
      <c r="X6" s="556" t="s">
        <v>463</v>
      </c>
      <c r="Y6" s="556" t="s">
        <v>463</v>
      </c>
      <c r="Z6" s="556" t="s">
        <v>463</v>
      </c>
      <c r="AA6" s="556" t="s">
        <v>463</v>
      </c>
      <c r="AB6" s="556" t="s">
        <v>463</v>
      </c>
      <c r="AC6" s="557" t="s">
        <v>463</v>
      </c>
      <c r="AD6" s="556" t="s">
        <v>463</v>
      </c>
      <c r="AE6" s="556" t="s">
        <v>463</v>
      </c>
      <c r="AF6" s="556" t="s">
        <v>270</v>
      </c>
      <c r="AG6" s="557" t="s">
        <v>569</v>
      </c>
      <c r="AH6" s="558" t="s">
        <v>466</v>
      </c>
      <c r="AI6" s="559" t="s">
        <v>536</v>
      </c>
      <c r="AJ6" s="557" t="s">
        <v>514</v>
      </c>
      <c r="AK6" s="556" t="s">
        <v>334</v>
      </c>
      <c r="AL6" s="557" t="s">
        <v>463</v>
      </c>
      <c r="AM6" s="556" t="s">
        <v>463</v>
      </c>
      <c r="AN6" s="556" t="s">
        <v>516</v>
      </c>
      <c r="AO6" s="556" t="s">
        <v>570</v>
      </c>
      <c r="AP6" s="556" t="s">
        <v>468</v>
      </c>
      <c r="AQ6" s="559" t="s">
        <v>473</v>
      </c>
      <c r="AR6" s="556" t="s">
        <v>443</v>
      </c>
      <c r="AS6" s="556" t="s">
        <v>199</v>
      </c>
      <c r="AV6" s="555"/>
      <c r="AW6" s="555"/>
      <c r="AX6" s="560"/>
      <c r="AY6" s="555"/>
    </row>
    <row r="7" spans="1:57">
      <c r="A7" s="555">
        <v>3151</v>
      </c>
      <c r="B7" s="556" t="s">
        <v>40</v>
      </c>
      <c r="D7" s="556" t="s">
        <v>4</v>
      </c>
      <c r="F7" s="557" t="s">
        <v>422</v>
      </c>
      <c r="G7" s="556" t="s">
        <v>463</v>
      </c>
      <c r="H7" s="557" t="s">
        <v>460</v>
      </c>
      <c r="I7" s="556" t="s">
        <v>463</v>
      </c>
      <c r="J7" s="557" t="s">
        <v>463</v>
      </c>
      <c r="K7" s="557" t="s">
        <v>463</v>
      </c>
      <c r="L7" s="557" t="s">
        <v>463</v>
      </c>
      <c r="M7" s="557" t="s">
        <v>463</v>
      </c>
      <c r="N7" s="557" t="s">
        <v>463</v>
      </c>
      <c r="O7" s="557" t="s">
        <v>463</v>
      </c>
      <c r="P7" s="556" t="s">
        <v>463</v>
      </c>
      <c r="Q7" s="556" t="s">
        <v>463</v>
      </c>
      <c r="R7" s="556" t="s">
        <v>463</v>
      </c>
      <c r="S7" s="556" t="s">
        <v>463</v>
      </c>
      <c r="T7" s="556" t="s">
        <v>463</v>
      </c>
      <c r="U7" s="556" t="s">
        <v>463</v>
      </c>
      <c r="V7" s="556" t="s">
        <v>463</v>
      </c>
      <c r="W7" s="556" t="s">
        <v>463</v>
      </c>
      <c r="X7" s="556" t="s">
        <v>463</v>
      </c>
      <c r="Y7" s="556" t="s">
        <v>463</v>
      </c>
      <c r="Z7" s="556" t="s">
        <v>463</v>
      </c>
      <c r="AA7" s="556" t="s">
        <v>463</v>
      </c>
      <c r="AB7" s="556" t="s">
        <v>463</v>
      </c>
      <c r="AC7" s="557" t="s">
        <v>463</v>
      </c>
      <c r="AD7" s="556" t="s">
        <v>463</v>
      </c>
      <c r="AE7" s="556" t="s">
        <v>463</v>
      </c>
      <c r="AF7" s="556" t="s">
        <v>270</v>
      </c>
      <c r="AG7" s="557" t="s">
        <v>463</v>
      </c>
      <c r="AH7" s="558" t="s">
        <v>466</v>
      </c>
      <c r="AI7" s="559" t="s">
        <v>463</v>
      </c>
      <c r="AJ7" s="557" t="s">
        <v>514</v>
      </c>
      <c r="AK7" s="556" t="s">
        <v>463</v>
      </c>
      <c r="AL7" s="557" t="s">
        <v>515</v>
      </c>
      <c r="AM7" s="556" t="s">
        <v>463</v>
      </c>
      <c r="AN7" s="556" t="s">
        <v>516</v>
      </c>
      <c r="AO7" s="556" t="s">
        <v>463</v>
      </c>
      <c r="AP7" s="556" t="s">
        <v>468</v>
      </c>
      <c r="AQ7" s="559" t="s">
        <v>473</v>
      </c>
      <c r="AR7" s="556" t="s">
        <v>443</v>
      </c>
      <c r="AS7" s="556" t="s">
        <v>463</v>
      </c>
      <c r="AV7" s="555"/>
      <c r="AW7" s="555"/>
      <c r="AX7" s="555"/>
      <c r="AY7" s="555"/>
      <c r="BB7" s="556" t="s">
        <v>443</v>
      </c>
      <c r="BC7" s="556" t="s">
        <v>200</v>
      </c>
    </row>
    <row r="8" spans="1:57">
      <c r="A8" s="555">
        <v>3201</v>
      </c>
      <c r="B8" s="556" t="s">
        <v>574</v>
      </c>
      <c r="C8" s="556" t="s">
        <v>575</v>
      </c>
      <c r="D8" s="556" t="s">
        <v>4</v>
      </c>
      <c r="E8" s="556" t="s">
        <v>576</v>
      </c>
      <c r="F8" s="557" t="s">
        <v>577</v>
      </c>
      <c r="G8" s="556" t="s">
        <v>579</v>
      </c>
      <c r="H8" s="557" t="s">
        <v>578</v>
      </c>
      <c r="I8" s="556" t="s">
        <v>579</v>
      </c>
      <c r="J8" s="557" t="s">
        <v>548</v>
      </c>
      <c r="K8" s="557" t="s">
        <v>580</v>
      </c>
      <c r="L8" s="557" t="s">
        <v>581</v>
      </c>
      <c r="M8" s="557" t="s">
        <v>458</v>
      </c>
      <c r="N8" s="557" t="s">
        <v>463</v>
      </c>
      <c r="O8" s="557" t="s">
        <v>463</v>
      </c>
      <c r="P8" s="556" t="s">
        <v>463</v>
      </c>
      <c r="Q8" s="556" t="s">
        <v>463</v>
      </c>
      <c r="R8" s="556" t="s">
        <v>463</v>
      </c>
      <c r="S8" s="556" t="s">
        <v>463</v>
      </c>
      <c r="T8" s="556" t="s">
        <v>463</v>
      </c>
      <c r="U8" s="556" t="s">
        <v>463</v>
      </c>
      <c r="V8" s="556" t="s">
        <v>681</v>
      </c>
      <c r="W8" s="556" t="s">
        <v>463</v>
      </c>
      <c r="X8" s="556" t="s">
        <v>463</v>
      </c>
      <c r="Y8" s="556" t="s">
        <v>463</v>
      </c>
      <c r="Z8" s="556" t="s">
        <v>463</v>
      </c>
      <c r="AA8" s="556" t="s">
        <v>463</v>
      </c>
      <c r="AB8" s="556" t="s">
        <v>463</v>
      </c>
      <c r="AC8" s="557" t="s">
        <v>463</v>
      </c>
      <c r="AD8" s="556" t="s">
        <v>463</v>
      </c>
      <c r="AE8" s="556" t="s">
        <v>463</v>
      </c>
      <c r="AF8" s="556" t="s">
        <v>270</v>
      </c>
      <c r="AG8" s="557" t="s">
        <v>582</v>
      </c>
      <c r="AH8" s="559" t="s">
        <v>466</v>
      </c>
      <c r="AI8" s="559" t="s">
        <v>536</v>
      </c>
      <c r="AJ8" s="557" t="s">
        <v>514</v>
      </c>
      <c r="AK8" s="556" t="s">
        <v>537</v>
      </c>
      <c r="AL8" s="557" t="s">
        <v>515</v>
      </c>
      <c r="AM8" s="556" t="s">
        <v>583</v>
      </c>
      <c r="AN8" s="556" t="s">
        <v>516</v>
      </c>
      <c r="AO8" s="556" t="s">
        <v>478</v>
      </c>
      <c r="AP8" s="556" t="s">
        <v>468</v>
      </c>
      <c r="AQ8" s="559" t="s">
        <v>473</v>
      </c>
      <c r="AR8" s="556" t="s">
        <v>443</v>
      </c>
      <c r="AS8" s="556" t="s">
        <v>573</v>
      </c>
      <c r="AV8" s="555"/>
      <c r="AW8" s="555"/>
      <c r="AX8" s="560"/>
      <c r="AY8" s="555"/>
    </row>
    <row r="9" spans="1:57">
      <c r="A9" s="555">
        <v>3211</v>
      </c>
      <c r="B9" s="556" t="s">
        <v>287</v>
      </c>
      <c r="D9" s="556" t="s">
        <v>4</v>
      </c>
      <c r="F9" s="557" t="s">
        <v>422</v>
      </c>
      <c r="G9" s="556" t="s">
        <v>463</v>
      </c>
      <c r="H9" s="557" t="s">
        <v>460</v>
      </c>
      <c r="I9" s="556" t="s">
        <v>463</v>
      </c>
      <c r="J9" s="557" t="s">
        <v>463</v>
      </c>
      <c r="K9" s="557" t="s">
        <v>463</v>
      </c>
      <c r="L9" s="557" t="s">
        <v>463</v>
      </c>
      <c r="M9" s="557" t="s">
        <v>463</v>
      </c>
      <c r="N9" s="557" t="s">
        <v>463</v>
      </c>
      <c r="O9" s="557" t="s">
        <v>463</v>
      </c>
      <c r="P9" s="556" t="s">
        <v>463</v>
      </c>
      <c r="Q9" s="556" t="s">
        <v>463</v>
      </c>
      <c r="R9" s="556" t="s">
        <v>463</v>
      </c>
      <c r="S9" s="556" t="s">
        <v>463</v>
      </c>
      <c r="T9" s="556" t="s">
        <v>463</v>
      </c>
      <c r="U9" s="556" t="s">
        <v>463</v>
      </c>
      <c r="V9" s="556" t="s">
        <v>681</v>
      </c>
      <c r="W9" s="556" t="s">
        <v>463</v>
      </c>
      <c r="X9" s="556" t="s">
        <v>463</v>
      </c>
      <c r="Y9" s="556" t="s">
        <v>463</v>
      </c>
      <c r="Z9" s="556" t="s">
        <v>463</v>
      </c>
      <c r="AA9" s="556" t="s">
        <v>463</v>
      </c>
      <c r="AB9" s="556" t="s">
        <v>463</v>
      </c>
      <c r="AC9" s="557" t="s">
        <v>463</v>
      </c>
      <c r="AD9" s="556" t="s">
        <v>463</v>
      </c>
      <c r="AE9" s="556" t="s">
        <v>463</v>
      </c>
      <c r="AF9" s="556" t="s">
        <v>270</v>
      </c>
      <c r="AG9" s="557" t="s">
        <v>463</v>
      </c>
      <c r="AH9" s="558" t="s">
        <v>466</v>
      </c>
      <c r="AI9" s="559" t="s">
        <v>463</v>
      </c>
      <c r="AJ9" s="557" t="s">
        <v>514</v>
      </c>
      <c r="AK9" s="556" t="s">
        <v>463</v>
      </c>
      <c r="AL9" s="557" t="s">
        <v>515</v>
      </c>
      <c r="AM9" s="556" t="s">
        <v>463</v>
      </c>
      <c r="AN9" s="556" t="s">
        <v>516</v>
      </c>
      <c r="AO9" s="556" t="s">
        <v>463</v>
      </c>
      <c r="AP9" s="556" t="s">
        <v>468</v>
      </c>
      <c r="AQ9" s="559" t="s">
        <v>473</v>
      </c>
      <c r="AR9" s="556" t="s">
        <v>443</v>
      </c>
      <c r="AS9" s="556" t="s">
        <v>463</v>
      </c>
      <c r="AV9" s="555" t="s">
        <v>363</v>
      </c>
      <c r="AW9" s="555" t="s">
        <v>364</v>
      </c>
      <c r="AX9" s="560">
        <v>0.1615</v>
      </c>
      <c r="AY9" s="555" t="s">
        <v>361</v>
      </c>
      <c r="AZ9" s="556" t="s">
        <v>365</v>
      </c>
      <c r="BA9" s="556" t="s">
        <v>362</v>
      </c>
      <c r="BB9" s="556" t="s">
        <v>443</v>
      </c>
      <c r="BC9" s="556" t="s">
        <v>201</v>
      </c>
    </row>
    <row r="10" spans="1:57">
      <c r="A10" s="555">
        <v>3303</v>
      </c>
      <c r="B10" s="556" t="s">
        <v>301</v>
      </c>
      <c r="D10" s="556" t="s">
        <v>4</v>
      </c>
      <c r="F10" s="557" t="s">
        <v>422</v>
      </c>
      <c r="G10" s="556" t="s">
        <v>463</v>
      </c>
      <c r="H10" s="557" t="s">
        <v>460</v>
      </c>
      <c r="I10" s="556" t="s">
        <v>463</v>
      </c>
      <c r="J10" s="557" t="s">
        <v>463</v>
      </c>
      <c r="K10" s="557" t="s">
        <v>463</v>
      </c>
      <c r="L10" s="557" t="s">
        <v>463</v>
      </c>
      <c r="M10" s="557" t="s">
        <v>463</v>
      </c>
      <c r="N10" s="557" t="s">
        <v>463</v>
      </c>
      <c r="O10" s="557" t="s">
        <v>463</v>
      </c>
      <c r="P10" s="556" t="s">
        <v>463</v>
      </c>
      <c r="Q10" s="556" t="s">
        <v>463</v>
      </c>
      <c r="R10" s="556" t="s">
        <v>463</v>
      </c>
      <c r="S10" s="556" t="s">
        <v>463</v>
      </c>
      <c r="T10" s="556" t="s">
        <v>463</v>
      </c>
      <c r="U10" s="556" t="s">
        <v>463</v>
      </c>
      <c r="V10" s="556" t="s">
        <v>463</v>
      </c>
      <c r="W10" s="556" t="s">
        <v>463</v>
      </c>
      <c r="X10" s="556" t="s">
        <v>463</v>
      </c>
      <c r="Y10" s="556" t="s">
        <v>463</v>
      </c>
      <c r="Z10" s="556" t="s">
        <v>463</v>
      </c>
      <c r="AA10" s="556" t="s">
        <v>463</v>
      </c>
      <c r="AB10" s="556" t="s">
        <v>463</v>
      </c>
      <c r="AC10" s="557" t="s">
        <v>463</v>
      </c>
      <c r="AD10" s="556" t="s">
        <v>463</v>
      </c>
      <c r="AE10" s="556" t="s">
        <v>463</v>
      </c>
      <c r="AF10" s="556" t="s">
        <v>270</v>
      </c>
      <c r="AG10" s="557" t="s">
        <v>463</v>
      </c>
      <c r="AH10" s="558" t="s">
        <v>466</v>
      </c>
      <c r="AI10" s="559" t="s">
        <v>463</v>
      </c>
      <c r="AJ10" s="557" t="s">
        <v>514</v>
      </c>
      <c r="AK10" s="556" t="s">
        <v>463</v>
      </c>
      <c r="AL10" s="557" t="s">
        <v>515</v>
      </c>
      <c r="AM10" s="556" t="s">
        <v>463</v>
      </c>
      <c r="AN10" s="556" t="s">
        <v>516</v>
      </c>
      <c r="AO10" s="556" t="s">
        <v>463</v>
      </c>
      <c r="AP10" s="556" t="s">
        <v>468</v>
      </c>
      <c r="AQ10" s="559" t="s">
        <v>473</v>
      </c>
      <c r="AR10" s="556" t="s">
        <v>443</v>
      </c>
      <c r="AS10" s="556" t="s">
        <v>463</v>
      </c>
      <c r="AV10" s="555" t="s">
        <v>363</v>
      </c>
      <c r="AW10" s="555" t="s">
        <v>366</v>
      </c>
      <c r="AX10" s="560">
        <v>0.13800000000000001</v>
      </c>
      <c r="AY10" s="555" t="s">
        <v>367</v>
      </c>
      <c r="AZ10" s="556" t="s">
        <v>334</v>
      </c>
      <c r="BB10" s="556" t="s">
        <v>443</v>
      </c>
    </row>
    <row r="11" spans="1:57">
      <c r="A11" s="555">
        <v>3401</v>
      </c>
      <c r="B11" s="556" t="s">
        <v>41</v>
      </c>
      <c r="D11" s="556" t="s">
        <v>4</v>
      </c>
      <c r="E11" s="556" t="s">
        <v>584</v>
      </c>
      <c r="F11" s="557" t="s">
        <v>422</v>
      </c>
      <c r="G11" s="556" t="s">
        <v>458</v>
      </c>
      <c r="H11" s="557" t="s">
        <v>460</v>
      </c>
      <c r="I11" s="556" t="s">
        <v>586</v>
      </c>
      <c r="J11" s="557" t="s">
        <v>460</v>
      </c>
      <c r="K11" s="556" t="s">
        <v>587</v>
      </c>
      <c r="L11" s="557" t="s">
        <v>460</v>
      </c>
      <c r="M11" s="556" t="s">
        <v>585</v>
      </c>
      <c r="N11" s="557" t="s">
        <v>463</v>
      </c>
      <c r="O11" s="557" t="s">
        <v>463</v>
      </c>
      <c r="P11" s="556" t="s">
        <v>463</v>
      </c>
      <c r="Q11" s="556" t="s">
        <v>463</v>
      </c>
      <c r="R11" s="556" t="s">
        <v>463</v>
      </c>
      <c r="S11" s="556" t="s">
        <v>463</v>
      </c>
      <c r="T11" s="556" t="s">
        <v>463</v>
      </c>
      <c r="U11" s="556" t="s">
        <v>463</v>
      </c>
      <c r="V11" s="556" t="s">
        <v>681</v>
      </c>
      <c r="W11" s="556" t="s">
        <v>463</v>
      </c>
      <c r="X11" s="556" t="s">
        <v>463</v>
      </c>
      <c r="Y11" s="556" t="s">
        <v>463</v>
      </c>
      <c r="Z11" s="556" t="s">
        <v>463</v>
      </c>
      <c r="AA11" s="556" t="s">
        <v>463</v>
      </c>
      <c r="AB11" s="556" t="s">
        <v>463</v>
      </c>
      <c r="AC11" s="557" t="s">
        <v>463</v>
      </c>
      <c r="AD11" s="556" t="s">
        <v>463</v>
      </c>
      <c r="AE11" s="556" t="s">
        <v>463</v>
      </c>
      <c r="AF11" s="556" t="s">
        <v>270</v>
      </c>
      <c r="AG11" s="557" t="s">
        <v>588</v>
      </c>
      <c r="AH11" s="558" t="s">
        <v>466</v>
      </c>
      <c r="AI11" s="559" t="s">
        <v>536</v>
      </c>
      <c r="AJ11" s="557" t="s">
        <v>514</v>
      </c>
      <c r="AK11" s="556" t="s">
        <v>589</v>
      </c>
      <c r="AL11" s="557" t="s">
        <v>515</v>
      </c>
      <c r="AM11" s="556" t="s">
        <v>590</v>
      </c>
      <c r="AN11" s="556" t="s">
        <v>516</v>
      </c>
      <c r="AO11" s="556" t="s">
        <v>478</v>
      </c>
      <c r="AP11" s="556" t="s">
        <v>468</v>
      </c>
      <c r="AQ11" s="559" t="s">
        <v>473</v>
      </c>
      <c r="AR11" s="556" t="s">
        <v>443</v>
      </c>
      <c r="AS11" s="556" t="s">
        <v>202</v>
      </c>
      <c r="AV11" s="555"/>
      <c r="AW11" s="555"/>
      <c r="AX11" s="560"/>
      <c r="AY11" s="555"/>
    </row>
    <row r="12" spans="1:57">
      <c r="A12" s="555">
        <v>3511</v>
      </c>
      <c r="B12" s="556" t="s">
        <v>605</v>
      </c>
      <c r="C12" s="556" t="s">
        <v>591</v>
      </c>
      <c r="D12" s="556" t="s">
        <v>592</v>
      </c>
      <c r="E12" s="556" t="s">
        <v>593</v>
      </c>
      <c r="F12" s="557" t="s">
        <v>594</v>
      </c>
      <c r="G12" s="556" t="s">
        <v>595</v>
      </c>
      <c r="H12" s="557" t="s">
        <v>596</v>
      </c>
      <c r="I12" s="556" t="s">
        <v>598</v>
      </c>
      <c r="J12" s="557" t="s">
        <v>597</v>
      </c>
      <c r="K12" s="556" t="s">
        <v>598</v>
      </c>
      <c r="L12" s="557" t="s">
        <v>599</v>
      </c>
      <c r="M12" s="556" t="s">
        <v>600</v>
      </c>
      <c r="N12" s="557" t="s">
        <v>601</v>
      </c>
      <c r="O12" s="557" t="s">
        <v>602</v>
      </c>
      <c r="P12" s="556" t="s">
        <v>603</v>
      </c>
      <c r="Q12" s="556" t="s">
        <v>604</v>
      </c>
      <c r="R12" s="556" t="s">
        <v>422</v>
      </c>
      <c r="S12" s="556" t="s">
        <v>606</v>
      </c>
      <c r="T12" s="556" t="s">
        <v>460</v>
      </c>
      <c r="U12" s="556" t="s">
        <v>607</v>
      </c>
      <c r="V12" s="556" t="s">
        <v>460</v>
      </c>
      <c r="W12" s="556" t="s">
        <v>608</v>
      </c>
      <c r="X12" s="556" t="s">
        <v>463</v>
      </c>
      <c r="Y12" s="556" t="s">
        <v>463</v>
      </c>
      <c r="Z12" s="556" t="s">
        <v>463</v>
      </c>
      <c r="AA12" s="556" t="s">
        <v>463</v>
      </c>
      <c r="AB12" s="556" t="s">
        <v>463</v>
      </c>
      <c r="AC12" s="557" t="s">
        <v>463</v>
      </c>
      <c r="AD12" s="556" t="s">
        <v>463</v>
      </c>
      <c r="AE12" s="556" t="s">
        <v>463</v>
      </c>
      <c r="AF12" s="556" t="s">
        <v>270</v>
      </c>
      <c r="AG12" s="557" t="s">
        <v>609</v>
      </c>
      <c r="AH12" s="558" t="s">
        <v>466</v>
      </c>
      <c r="AI12" s="559" t="s">
        <v>536</v>
      </c>
      <c r="AJ12" s="557" t="s">
        <v>514</v>
      </c>
      <c r="AK12" s="556" t="s">
        <v>334</v>
      </c>
      <c r="AL12" s="557" t="s">
        <v>463</v>
      </c>
      <c r="AM12" s="556" t="s">
        <v>463</v>
      </c>
      <c r="AN12" s="556" t="s">
        <v>516</v>
      </c>
      <c r="AO12" s="556" t="s">
        <v>478</v>
      </c>
      <c r="AP12" s="556" t="s">
        <v>468</v>
      </c>
      <c r="AQ12" s="559" t="s">
        <v>473</v>
      </c>
      <c r="AR12" s="556" t="s">
        <v>443</v>
      </c>
      <c r="AS12" s="556" t="s">
        <v>610</v>
      </c>
      <c r="AV12" s="555"/>
      <c r="AW12" s="555"/>
      <c r="AX12" s="560"/>
      <c r="AY12" s="555"/>
    </row>
    <row r="13" spans="1:57">
      <c r="A13" s="555">
        <v>4001</v>
      </c>
      <c r="B13" s="556" t="s">
        <v>502</v>
      </c>
      <c r="C13" s="556" t="s">
        <v>504</v>
      </c>
      <c r="D13" s="556" t="s">
        <v>503</v>
      </c>
      <c r="E13" s="556" t="s">
        <v>506</v>
      </c>
      <c r="F13" s="557" t="s">
        <v>505</v>
      </c>
      <c r="G13" s="556" t="s">
        <v>507</v>
      </c>
      <c r="H13" s="557" t="s">
        <v>422</v>
      </c>
      <c r="I13" s="556" t="s">
        <v>508</v>
      </c>
      <c r="J13" s="557" t="s">
        <v>510</v>
      </c>
      <c r="K13" s="556" t="s">
        <v>509</v>
      </c>
      <c r="L13" s="556" t="s">
        <v>460</v>
      </c>
      <c r="M13" s="556" t="s">
        <v>511</v>
      </c>
      <c r="N13" s="557" t="s">
        <v>463</v>
      </c>
      <c r="O13" s="557" t="s">
        <v>463</v>
      </c>
      <c r="P13" s="556" t="s">
        <v>463</v>
      </c>
      <c r="Q13" s="556" t="s">
        <v>463</v>
      </c>
      <c r="R13" s="556" t="s">
        <v>463</v>
      </c>
      <c r="S13" s="556" t="s">
        <v>463</v>
      </c>
      <c r="T13" s="556" t="s">
        <v>463</v>
      </c>
      <c r="U13" s="556" t="s">
        <v>463</v>
      </c>
      <c r="V13" s="556" t="s">
        <v>681</v>
      </c>
      <c r="W13" s="556" t="s">
        <v>683</v>
      </c>
      <c r="X13" s="556" t="s">
        <v>463</v>
      </c>
      <c r="Y13" s="556" t="s">
        <v>463</v>
      </c>
      <c r="Z13" s="556" t="s">
        <v>463</v>
      </c>
      <c r="AA13" s="556" t="s">
        <v>463</v>
      </c>
      <c r="AB13" s="556" t="s">
        <v>463</v>
      </c>
      <c r="AC13" s="557" t="s">
        <v>463</v>
      </c>
      <c r="AD13" s="556" t="s">
        <v>463</v>
      </c>
      <c r="AE13" s="556" t="s">
        <v>463</v>
      </c>
      <c r="AF13" s="556" t="s">
        <v>270</v>
      </c>
      <c r="AG13" s="559" t="s">
        <v>518</v>
      </c>
      <c r="AH13" s="558" t="s">
        <v>466</v>
      </c>
      <c r="AI13" s="556" t="s">
        <v>517</v>
      </c>
      <c r="AJ13" s="557" t="s">
        <v>514</v>
      </c>
      <c r="AK13" s="556" t="s">
        <v>463</v>
      </c>
      <c r="AL13" s="557" t="s">
        <v>515</v>
      </c>
      <c r="AM13" s="556" t="s">
        <v>463</v>
      </c>
      <c r="AN13" s="556" t="s">
        <v>516</v>
      </c>
      <c r="AO13" s="556" t="s">
        <v>478</v>
      </c>
      <c r="AP13" s="556" t="s">
        <v>468</v>
      </c>
      <c r="AQ13" s="559" t="s">
        <v>475</v>
      </c>
      <c r="AR13" s="556" t="s">
        <v>443</v>
      </c>
      <c r="AS13" s="556" t="s">
        <v>519</v>
      </c>
      <c r="AT13" s="556" t="s">
        <v>463</v>
      </c>
      <c r="AU13" s="556" t="s">
        <v>463</v>
      </c>
      <c r="AV13" s="556" t="s">
        <v>463</v>
      </c>
      <c r="AW13" s="556" t="s">
        <v>463</v>
      </c>
      <c r="AX13" s="556" t="s">
        <v>463</v>
      </c>
      <c r="AY13" s="556" t="s">
        <v>463</v>
      </c>
      <c r="AZ13" s="556" t="s">
        <v>463</v>
      </c>
      <c r="BA13" s="556" t="s">
        <v>463</v>
      </c>
      <c r="BB13" s="556" t="s">
        <v>463</v>
      </c>
      <c r="BC13" s="556" t="s">
        <v>463</v>
      </c>
      <c r="BD13" s="556" t="s">
        <v>463</v>
      </c>
      <c r="BE13" s="556" t="s">
        <v>463</v>
      </c>
    </row>
    <row r="14" spans="1:57">
      <c r="A14" s="555">
        <v>4011</v>
      </c>
      <c r="B14" s="556" t="s">
        <v>42</v>
      </c>
      <c r="C14" s="556" t="s">
        <v>351</v>
      </c>
      <c r="D14" s="556" t="s">
        <v>4</v>
      </c>
      <c r="F14" s="557" t="s">
        <v>422</v>
      </c>
      <c r="H14" s="557" t="s">
        <v>460</v>
      </c>
      <c r="K14" s="557" t="s">
        <v>463</v>
      </c>
      <c r="L14" s="557" t="s">
        <v>463</v>
      </c>
      <c r="M14" s="557" t="s">
        <v>463</v>
      </c>
      <c r="N14" s="557" t="s">
        <v>463</v>
      </c>
      <c r="O14" s="557" t="s">
        <v>463</v>
      </c>
      <c r="P14" s="556" t="s">
        <v>463</v>
      </c>
      <c r="Q14" s="556" t="s">
        <v>463</v>
      </c>
      <c r="R14" s="556" t="s">
        <v>463</v>
      </c>
      <c r="S14" s="556" t="s">
        <v>463</v>
      </c>
      <c r="T14" s="556" t="s">
        <v>463</v>
      </c>
      <c r="U14" s="556" t="s">
        <v>463</v>
      </c>
      <c r="V14" s="556" t="s">
        <v>681</v>
      </c>
      <c r="W14" s="556" t="s">
        <v>463</v>
      </c>
      <c r="X14" s="556" t="s">
        <v>463</v>
      </c>
      <c r="Y14" s="556" t="s">
        <v>463</v>
      </c>
      <c r="Z14" s="556" t="s">
        <v>463</v>
      </c>
      <c r="AA14" s="556" t="s">
        <v>463</v>
      </c>
      <c r="AB14" s="556" t="s">
        <v>463</v>
      </c>
      <c r="AC14" s="557" t="s">
        <v>463</v>
      </c>
      <c r="AD14" s="556" t="s">
        <v>463</v>
      </c>
      <c r="AE14" s="556" t="s">
        <v>463</v>
      </c>
      <c r="AF14" s="556" t="s">
        <v>270</v>
      </c>
      <c r="AG14" s="557" t="s">
        <v>463</v>
      </c>
      <c r="AH14" s="558" t="s">
        <v>466</v>
      </c>
      <c r="AI14" s="559" t="s">
        <v>463</v>
      </c>
      <c r="AJ14" s="557" t="s">
        <v>514</v>
      </c>
      <c r="AK14" s="556" t="s">
        <v>463</v>
      </c>
      <c r="AL14" s="557" t="s">
        <v>515</v>
      </c>
      <c r="AM14" s="556" t="s">
        <v>463</v>
      </c>
      <c r="AN14" s="556" t="s">
        <v>516</v>
      </c>
      <c r="AO14" s="556" t="s">
        <v>463</v>
      </c>
      <c r="AP14" s="556" t="s">
        <v>468</v>
      </c>
      <c r="AQ14" s="559" t="s">
        <v>473</v>
      </c>
      <c r="AR14" s="556" t="s">
        <v>443</v>
      </c>
      <c r="AS14" s="556" t="s">
        <v>463</v>
      </c>
      <c r="AV14" s="555" t="s">
        <v>352</v>
      </c>
      <c r="AW14" s="557" t="s">
        <v>353</v>
      </c>
      <c r="AX14" s="560">
        <v>0.16250000000000001</v>
      </c>
      <c r="AY14" s="555" t="s">
        <v>354</v>
      </c>
      <c r="AZ14" s="556" t="s">
        <v>355</v>
      </c>
      <c r="BB14" s="556" t="s">
        <v>443</v>
      </c>
      <c r="BC14" s="556" t="s">
        <v>203</v>
      </c>
    </row>
    <row r="15" spans="1:57">
      <c r="A15" s="555">
        <v>4021</v>
      </c>
      <c r="B15" s="556" t="s">
        <v>534</v>
      </c>
      <c r="D15" s="556" t="s">
        <v>4</v>
      </c>
      <c r="E15" s="556" t="s">
        <v>535</v>
      </c>
      <c r="F15" s="557" t="s">
        <v>422</v>
      </c>
      <c r="G15" s="556" t="s">
        <v>458</v>
      </c>
      <c r="H15" s="557" t="s">
        <v>460</v>
      </c>
      <c r="I15" s="556" t="s">
        <v>458</v>
      </c>
      <c r="K15" s="557" t="s">
        <v>463</v>
      </c>
      <c r="L15" s="557" t="s">
        <v>463</v>
      </c>
      <c r="M15" s="557" t="s">
        <v>463</v>
      </c>
      <c r="N15" s="557" t="s">
        <v>463</v>
      </c>
      <c r="O15" s="557" t="s">
        <v>463</v>
      </c>
      <c r="P15" s="556" t="s">
        <v>463</v>
      </c>
      <c r="Q15" s="556" t="s">
        <v>463</v>
      </c>
      <c r="R15" s="556" t="s">
        <v>463</v>
      </c>
      <c r="S15" s="556" t="s">
        <v>463</v>
      </c>
      <c r="T15" s="556" t="s">
        <v>463</v>
      </c>
      <c r="U15" s="556" t="s">
        <v>463</v>
      </c>
      <c r="V15" s="556" t="s">
        <v>681</v>
      </c>
      <c r="W15" s="556" t="s">
        <v>463</v>
      </c>
      <c r="X15" s="556" t="s">
        <v>463</v>
      </c>
      <c r="Y15" s="556" t="s">
        <v>463</v>
      </c>
      <c r="Z15" s="556" t="s">
        <v>463</v>
      </c>
      <c r="AA15" s="556" t="s">
        <v>463</v>
      </c>
      <c r="AB15" s="556" t="s">
        <v>463</v>
      </c>
      <c r="AC15" s="557" t="s">
        <v>463</v>
      </c>
      <c r="AD15" s="556" t="s">
        <v>463</v>
      </c>
      <c r="AE15" s="556" t="s">
        <v>463</v>
      </c>
      <c r="AF15" s="556" t="s">
        <v>270</v>
      </c>
      <c r="AG15" s="557" t="s">
        <v>538</v>
      </c>
      <c r="AH15" s="558" t="s">
        <v>466</v>
      </c>
      <c r="AI15" s="559" t="s">
        <v>536</v>
      </c>
      <c r="AJ15" s="557" t="s">
        <v>514</v>
      </c>
      <c r="AK15" s="556" t="s">
        <v>537</v>
      </c>
      <c r="AL15" s="557" t="s">
        <v>515</v>
      </c>
      <c r="AM15" s="556" t="s">
        <v>539</v>
      </c>
      <c r="AN15" s="556" t="s">
        <v>516</v>
      </c>
      <c r="AO15" s="556" t="s">
        <v>478</v>
      </c>
      <c r="AP15" s="556" t="s">
        <v>468</v>
      </c>
      <c r="AQ15" s="559" t="s">
        <v>473</v>
      </c>
      <c r="AR15" s="556" t="s">
        <v>443</v>
      </c>
      <c r="AS15" s="556" t="s">
        <v>540</v>
      </c>
      <c r="AV15" s="555"/>
      <c r="AW15" s="555"/>
      <c r="AX15" s="560"/>
      <c r="AY15" s="555"/>
    </row>
    <row r="16" spans="1:57">
      <c r="A16" s="555">
        <v>4031</v>
      </c>
      <c r="B16" s="556" t="s">
        <v>43</v>
      </c>
      <c r="D16" s="556" t="s">
        <v>4</v>
      </c>
      <c r="F16" s="557" t="s">
        <v>422</v>
      </c>
      <c r="H16" s="557" t="s">
        <v>460</v>
      </c>
      <c r="K16" s="557" t="s">
        <v>463</v>
      </c>
      <c r="L16" s="557" t="s">
        <v>463</v>
      </c>
      <c r="M16" s="557" t="s">
        <v>463</v>
      </c>
      <c r="N16" s="557" t="s">
        <v>463</v>
      </c>
      <c r="O16" s="557" t="s">
        <v>463</v>
      </c>
      <c r="P16" s="556" t="s">
        <v>463</v>
      </c>
      <c r="Q16" s="556" t="s">
        <v>463</v>
      </c>
      <c r="R16" s="556" t="s">
        <v>463</v>
      </c>
      <c r="S16" s="556" t="s">
        <v>463</v>
      </c>
      <c r="T16" s="556" t="s">
        <v>463</v>
      </c>
      <c r="U16" s="556" t="s">
        <v>463</v>
      </c>
      <c r="V16" s="556" t="s">
        <v>681</v>
      </c>
      <c r="W16" s="556" t="s">
        <v>463</v>
      </c>
      <c r="X16" s="556" t="s">
        <v>463</v>
      </c>
      <c r="Y16" s="556" t="s">
        <v>463</v>
      </c>
      <c r="Z16" s="556" t="s">
        <v>463</v>
      </c>
      <c r="AA16" s="556" t="s">
        <v>463</v>
      </c>
      <c r="AB16" s="556" t="s">
        <v>463</v>
      </c>
      <c r="AC16" s="557" t="s">
        <v>463</v>
      </c>
      <c r="AD16" s="556" t="s">
        <v>463</v>
      </c>
      <c r="AE16" s="556" t="s">
        <v>463</v>
      </c>
      <c r="AF16" s="556" t="s">
        <v>270</v>
      </c>
      <c r="AG16" s="557" t="s">
        <v>463</v>
      </c>
      <c r="AH16" s="558" t="s">
        <v>466</v>
      </c>
      <c r="AI16" s="559" t="s">
        <v>463</v>
      </c>
      <c r="AJ16" s="557" t="s">
        <v>514</v>
      </c>
      <c r="AK16" s="556" t="s">
        <v>463</v>
      </c>
      <c r="AL16" s="557" t="s">
        <v>515</v>
      </c>
      <c r="AM16" s="556" t="s">
        <v>463</v>
      </c>
      <c r="AN16" s="556" t="s">
        <v>516</v>
      </c>
      <c r="AO16" s="556" t="s">
        <v>463</v>
      </c>
      <c r="AP16" s="556" t="s">
        <v>468</v>
      </c>
      <c r="AQ16" s="559" t="s">
        <v>473</v>
      </c>
      <c r="AR16" s="556" t="s">
        <v>443</v>
      </c>
      <c r="AS16" s="556" t="s">
        <v>463</v>
      </c>
      <c r="AV16" s="555" t="s">
        <v>368</v>
      </c>
      <c r="AW16" s="555" t="s">
        <v>369</v>
      </c>
      <c r="AX16" s="560">
        <v>0.1484</v>
      </c>
      <c r="AY16" s="555"/>
      <c r="AZ16" s="556" t="s">
        <v>334</v>
      </c>
      <c r="BB16" s="556" t="s">
        <v>443</v>
      </c>
      <c r="BC16" s="556" t="s">
        <v>204</v>
      </c>
    </row>
    <row r="17" spans="1:55">
      <c r="A17" s="555">
        <v>4041</v>
      </c>
      <c r="B17" s="556" t="s">
        <v>307</v>
      </c>
      <c r="C17" s="561"/>
      <c r="D17" s="556" t="s">
        <v>4</v>
      </c>
      <c r="E17" s="561"/>
      <c r="F17" s="557" t="s">
        <v>422</v>
      </c>
      <c r="G17" s="561"/>
      <c r="H17" s="557" t="s">
        <v>460</v>
      </c>
      <c r="I17" s="561"/>
      <c r="J17" s="561"/>
      <c r="K17" s="557" t="s">
        <v>463</v>
      </c>
      <c r="L17" s="557" t="s">
        <v>463</v>
      </c>
      <c r="M17" s="557" t="s">
        <v>463</v>
      </c>
      <c r="N17" s="557" t="s">
        <v>463</v>
      </c>
      <c r="O17" s="557" t="s">
        <v>463</v>
      </c>
      <c r="P17" s="556" t="s">
        <v>463</v>
      </c>
      <c r="Q17" s="556" t="s">
        <v>463</v>
      </c>
      <c r="R17" s="556" t="s">
        <v>463</v>
      </c>
      <c r="S17" s="556" t="s">
        <v>463</v>
      </c>
      <c r="T17" s="556" t="s">
        <v>463</v>
      </c>
      <c r="U17" s="556" t="s">
        <v>463</v>
      </c>
      <c r="V17" s="556" t="s">
        <v>681</v>
      </c>
      <c r="W17" s="556" t="s">
        <v>463</v>
      </c>
      <c r="X17" s="556" t="s">
        <v>463</v>
      </c>
      <c r="Y17" s="556" t="s">
        <v>463</v>
      </c>
      <c r="Z17" s="556" t="s">
        <v>463</v>
      </c>
      <c r="AA17" s="556" t="s">
        <v>463</v>
      </c>
      <c r="AB17" s="556" t="s">
        <v>463</v>
      </c>
      <c r="AC17" s="557" t="s">
        <v>463</v>
      </c>
      <c r="AD17" s="556" t="s">
        <v>463</v>
      </c>
      <c r="AE17" s="556" t="s">
        <v>463</v>
      </c>
      <c r="AF17" s="556" t="s">
        <v>270</v>
      </c>
      <c r="AG17" s="557" t="s">
        <v>463</v>
      </c>
      <c r="AH17" s="558" t="s">
        <v>466</v>
      </c>
      <c r="AI17" s="559" t="s">
        <v>463</v>
      </c>
      <c r="AJ17" s="557" t="s">
        <v>514</v>
      </c>
      <c r="AK17" s="556" t="s">
        <v>463</v>
      </c>
      <c r="AL17" s="557" t="s">
        <v>515</v>
      </c>
      <c r="AM17" s="556" t="s">
        <v>463</v>
      </c>
      <c r="AN17" s="556" t="s">
        <v>516</v>
      </c>
      <c r="AO17" s="556" t="s">
        <v>463</v>
      </c>
      <c r="AP17" s="556" t="s">
        <v>468</v>
      </c>
      <c r="AQ17" s="559" t="s">
        <v>473</v>
      </c>
      <c r="AR17" s="556" t="s">
        <v>443</v>
      </c>
      <c r="AS17" s="556" t="s">
        <v>463</v>
      </c>
      <c r="AU17" s="561"/>
      <c r="AV17" s="555" t="s">
        <v>370</v>
      </c>
      <c r="AW17" s="562"/>
      <c r="AX17" s="563">
        <v>0.16370000000000001</v>
      </c>
      <c r="AY17" s="562" t="s">
        <v>343</v>
      </c>
      <c r="AZ17" s="556" t="s">
        <v>371</v>
      </c>
      <c r="BA17" s="561"/>
      <c r="BB17" s="556" t="s">
        <v>443</v>
      </c>
      <c r="BC17" s="561" t="s">
        <v>206</v>
      </c>
    </row>
    <row r="18" spans="1:55">
      <c r="A18" s="555">
        <v>4101</v>
      </c>
      <c r="B18" s="556" t="s">
        <v>521</v>
      </c>
      <c r="C18" s="556" t="s">
        <v>522</v>
      </c>
      <c r="D18" s="556" t="s">
        <v>523</v>
      </c>
      <c r="E18" s="556" t="s">
        <v>525</v>
      </c>
      <c r="F18" s="556" t="s">
        <v>524</v>
      </c>
      <c r="G18" s="556" t="s">
        <v>527</v>
      </c>
      <c r="H18" s="556" t="s">
        <v>526</v>
      </c>
      <c r="I18" s="556" t="s">
        <v>528</v>
      </c>
      <c r="J18" s="556" t="s">
        <v>529</v>
      </c>
      <c r="K18" s="556" t="s">
        <v>530</v>
      </c>
      <c r="L18" s="557" t="s">
        <v>422</v>
      </c>
      <c r="M18" s="556" t="s">
        <v>508</v>
      </c>
      <c r="N18" s="557" t="s">
        <v>460</v>
      </c>
      <c r="O18" s="556" t="s">
        <v>531</v>
      </c>
      <c r="P18" s="556" t="s">
        <v>460</v>
      </c>
      <c r="Q18" s="556" t="s">
        <v>511</v>
      </c>
      <c r="R18" s="556" t="s">
        <v>463</v>
      </c>
      <c r="S18" s="556" t="s">
        <v>463</v>
      </c>
      <c r="T18" s="556" t="s">
        <v>463</v>
      </c>
      <c r="U18" s="556" t="s">
        <v>463</v>
      </c>
      <c r="V18" s="556" t="s">
        <v>681</v>
      </c>
      <c r="W18" s="556" t="s">
        <v>683</v>
      </c>
      <c r="X18" s="556" t="s">
        <v>463</v>
      </c>
      <c r="Y18" s="556" t="s">
        <v>463</v>
      </c>
      <c r="Z18" s="556" t="s">
        <v>463</v>
      </c>
      <c r="AA18" s="556" t="s">
        <v>463</v>
      </c>
      <c r="AB18" s="556" t="s">
        <v>463</v>
      </c>
      <c r="AC18" s="557" t="s">
        <v>463</v>
      </c>
      <c r="AD18" s="556" t="s">
        <v>463</v>
      </c>
      <c r="AE18" s="556" t="s">
        <v>463</v>
      </c>
      <c r="AF18" s="556" t="s">
        <v>270</v>
      </c>
      <c r="AG18" s="557" t="s">
        <v>532</v>
      </c>
      <c r="AH18" s="559" t="s">
        <v>466</v>
      </c>
      <c r="AI18" s="556" t="s">
        <v>533</v>
      </c>
      <c r="AJ18" s="557" t="s">
        <v>514</v>
      </c>
      <c r="AK18" s="556" t="s">
        <v>453</v>
      </c>
      <c r="AL18" s="557" t="s">
        <v>515</v>
      </c>
      <c r="AM18" s="556" t="s">
        <v>453</v>
      </c>
      <c r="AN18" s="556" t="s">
        <v>516</v>
      </c>
      <c r="AO18" s="556" t="s">
        <v>478</v>
      </c>
      <c r="AP18" s="556" t="s">
        <v>468</v>
      </c>
      <c r="AQ18" s="559" t="s">
        <v>473</v>
      </c>
      <c r="AR18" s="556" t="s">
        <v>443</v>
      </c>
      <c r="AS18" s="556" t="s">
        <v>520</v>
      </c>
      <c r="AV18" s="555"/>
      <c r="AW18" s="555"/>
      <c r="AX18" s="560"/>
      <c r="AY18" s="555"/>
    </row>
    <row r="19" spans="1:55">
      <c r="A19" s="555">
        <v>4141</v>
      </c>
      <c r="B19" s="556" t="s">
        <v>44</v>
      </c>
      <c r="C19" s="556" t="s">
        <v>309</v>
      </c>
      <c r="D19" s="556" t="s">
        <v>4</v>
      </c>
      <c r="F19" s="557" t="s">
        <v>422</v>
      </c>
      <c r="H19" s="557" t="s">
        <v>460</v>
      </c>
      <c r="J19" s="557" t="s">
        <v>463</v>
      </c>
      <c r="K19" s="557" t="s">
        <v>463</v>
      </c>
      <c r="L19" s="557" t="s">
        <v>463</v>
      </c>
      <c r="M19" s="557" t="s">
        <v>463</v>
      </c>
      <c r="N19" s="557" t="s">
        <v>463</v>
      </c>
      <c r="O19" s="557" t="s">
        <v>463</v>
      </c>
      <c r="P19" s="556" t="s">
        <v>463</v>
      </c>
      <c r="Q19" s="556" t="s">
        <v>463</v>
      </c>
      <c r="R19" s="556" t="s">
        <v>463</v>
      </c>
      <c r="S19" s="556" t="s">
        <v>463</v>
      </c>
      <c r="T19" s="556" t="s">
        <v>463</v>
      </c>
      <c r="U19" s="556" t="s">
        <v>463</v>
      </c>
      <c r="V19" s="556" t="s">
        <v>681</v>
      </c>
      <c r="W19" s="556" t="s">
        <v>683</v>
      </c>
      <c r="X19" s="556" t="s">
        <v>463</v>
      </c>
      <c r="Y19" s="556" t="s">
        <v>682</v>
      </c>
      <c r="Z19" s="556" t="s">
        <v>463</v>
      </c>
      <c r="AA19" s="556" t="s">
        <v>685</v>
      </c>
      <c r="AB19" s="556" t="s">
        <v>463</v>
      </c>
      <c r="AC19" s="557" t="s">
        <v>463</v>
      </c>
      <c r="AD19" s="556" t="s">
        <v>463</v>
      </c>
      <c r="AE19" s="556" t="s">
        <v>463</v>
      </c>
      <c r="AF19" s="556" t="s">
        <v>270</v>
      </c>
      <c r="AG19" s="557" t="s">
        <v>463</v>
      </c>
      <c r="AH19" s="558" t="s">
        <v>466</v>
      </c>
      <c r="AI19" s="559" t="s">
        <v>463</v>
      </c>
      <c r="AJ19" s="557" t="s">
        <v>514</v>
      </c>
      <c r="AK19" s="556" t="s">
        <v>463</v>
      </c>
      <c r="AL19" s="557" t="s">
        <v>515</v>
      </c>
      <c r="AM19" s="556" t="s">
        <v>463</v>
      </c>
      <c r="AN19" s="556" t="s">
        <v>516</v>
      </c>
      <c r="AO19" s="556" t="s">
        <v>463</v>
      </c>
      <c r="AP19" s="556" t="s">
        <v>468</v>
      </c>
      <c r="AQ19" s="559" t="s">
        <v>476</v>
      </c>
      <c r="AR19" s="556" t="s">
        <v>443</v>
      </c>
      <c r="AS19" s="556" t="s">
        <v>463</v>
      </c>
      <c r="AV19" s="555" t="s">
        <v>372</v>
      </c>
      <c r="AW19" s="557" t="s">
        <v>373</v>
      </c>
      <c r="AX19" s="560"/>
      <c r="AY19" s="560"/>
      <c r="BB19" s="556" t="s">
        <v>443</v>
      </c>
      <c r="BC19" s="556" t="s">
        <v>205</v>
      </c>
    </row>
    <row r="20" spans="1:55">
      <c r="A20" s="555">
        <v>4151</v>
      </c>
      <c r="B20" s="556" t="s">
        <v>45</v>
      </c>
      <c r="C20" s="556" t="s">
        <v>310</v>
      </c>
      <c r="D20" s="556" t="s">
        <v>4</v>
      </c>
      <c r="F20" s="557" t="s">
        <v>422</v>
      </c>
      <c r="H20" s="557" t="s">
        <v>460</v>
      </c>
      <c r="J20" s="557" t="s">
        <v>463</v>
      </c>
      <c r="K20" s="557" t="s">
        <v>463</v>
      </c>
      <c r="L20" s="557" t="s">
        <v>463</v>
      </c>
      <c r="M20" s="557" t="s">
        <v>463</v>
      </c>
      <c r="N20" s="557" t="s">
        <v>463</v>
      </c>
      <c r="O20" s="557" t="s">
        <v>463</v>
      </c>
      <c r="P20" s="556" t="s">
        <v>463</v>
      </c>
      <c r="Q20" s="556" t="s">
        <v>463</v>
      </c>
      <c r="R20" s="556" t="s">
        <v>463</v>
      </c>
      <c r="S20" s="556" t="s">
        <v>463</v>
      </c>
      <c r="T20" s="556" t="s">
        <v>463</v>
      </c>
      <c r="U20" s="556" t="s">
        <v>463</v>
      </c>
      <c r="V20" s="556" t="s">
        <v>681</v>
      </c>
      <c r="W20" s="556" t="s">
        <v>463</v>
      </c>
      <c r="X20" s="556" t="s">
        <v>463</v>
      </c>
      <c r="Y20" s="556" t="s">
        <v>463</v>
      </c>
      <c r="Z20" s="556" t="s">
        <v>463</v>
      </c>
      <c r="AA20" s="556" t="s">
        <v>463</v>
      </c>
      <c r="AB20" s="556" t="s">
        <v>463</v>
      </c>
      <c r="AC20" s="557" t="s">
        <v>463</v>
      </c>
      <c r="AD20" s="556" t="s">
        <v>463</v>
      </c>
      <c r="AE20" s="556" t="s">
        <v>463</v>
      </c>
      <c r="AF20" s="556" t="s">
        <v>270</v>
      </c>
      <c r="AG20" s="557" t="s">
        <v>463</v>
      </c>
      <c r="AH20" s="558" t="s">
        <v>466</v>
      </c>
      <c r="AI20" s="559" t="s">
        <v>463</v>
      </c>
      <c r="AJ20" s="557" t="s">
        <v>514</v>
      </c>
      <c r="AK20" s="556" t="s">
        <v>463</v>
      </c>
      <c r="AL20" s="557" t="s">
        <v>515</v>
      </c>
      <c r="AM20" s="556" t="s">
        <v>463</v>
      </c>
      <c r="AN20" s="556" t="s">
        <v>516</v>
      </c>
      <c r="AO20" s="556" t="s">
        <v>463</v>
      </c>
      <c r="AP20" s="556" t="s">
        <v>468</v>
      </c>
      <c r="AQ20" s="559" t="s">
        <v>475</v>
      </c>
      <c r="AR20" s="556" t="s">
        <v>443</v>
      </c>
      <c r="AS20" s="556" t="s">
        <v>463</v>
      </c>
      <c r="AV20" s="555"/>
      <c r="AW20" s="555"/>
      <c r="AX20" s="555"/>
      <c r="AY20" s="555"/>
      <c r="BB20" s="556" t="s">
        <v>443</v>
      </c>
      <c r="BC20" s="556" t="s">
        <v>205</v>
      </c>
    </row>
    <row r="21" spans="1:55">
      <c r="A21" s="555">
        <v>4401</v>
      </c>
      <c r="B21" s="556" t="s">
        <v>319</v>
      </c>
      <c r="D21" s="556" t="s">
        <v>4</v>
      </c>
      <c r="F21" s="557" t="s">
        <v>422</v>
      </c>
      <c r="H21" s="557" t="s">
        <v>460</v>
      </c>
      <c r="J21" s="557" t="s">
        <v>463</v>
      </c>
      <c r="K21" s="557" t="s">
        <v>463</v>
      </c>
      <c r="L21" s="557" t="s">
        <v>463</v>
      </c>
      <c r="M21" s="557" t="s">
        <v>463</v>
      </c>
      <c r="N21" s="557" t="s">
        <v>463</v>
      </c>
      <c r="O21" s="557" t="s">
        <v>463</v>
      </c>
      <c r="P21" s="556" t="s">
        <v>463</v>
      </c>
      <c r="Q21" s="556" t="s">
        <v>463</v>
      </c>
      <c r="R21" s="556" t="s">
        <v>463</v>
      </c>
      <c r="S21" s="556" t="s">
        <v>463</v>
      </c>
      <c r="T21" s="556" t="s">
        <v>463</v>
      </c>
      <c r="U21" s="556" t="s">
        <v>463</v>
      </c>
      <c r="V21" s="556" t="s">
        <v>681</v>
      </c>
      <c r="W21" s="556" t="s">
        <v>463</v>
      </c>
      <c r="X21" s="556" t="s">
        <v>463</v>
      </c>
      <c r="Y21" s="556" t="s">
        <v>463</v>
      </c>
      <c r="Z21" s="556" t="s">
        <v>463</v>
      </c>
      <c r="AA21" s="556" t="s">
        <v>463</v>
      </c>
      <c r="AB21" s="556" t="s">
        <v>463</v>
      </c>
      <c r="AC21" s="557" t="s">
        <v>463</v>
      </c>
      <c r="AD21" s="556" t="s">
        <v>463</v>
      </c>
      <c r="AE21" s="556" t="s">
        <v>463</v>
      </c>
      <c r="AF21" s="556" t="s">
        <v>270</v>
      </c>
      <c r="AG21" s="557" t="s">
        <v>463</v>
      </c>
      <c r="AH21" s="558" t="s">
        <v>466</v>
      </c>
      <c r="AI21" s="559" t="s">
        <v>463</v>
      </c>
      <c r="AJ21" s="557" t="s">
        <v>514</v>
      </c>
      <c r="AK21" s="556" t="s">
        <v>463</v>
      </c>
      <c r="AL21" s="557" t="s">
        <v>515</v>
      </c>
      <c r="AM21" s="556" t="s">
        <v>463</v>
      </c>
      <c r="AN21" s="556" t="s">
        <v>516</v>
      </c>
      <c r="AO21" s="556" t="s">
        <v>463</v>
      </c>
      <c r="AP21" s="556" t="s">
        <v>468</v>
      </c>
      <c r="AQ21" s="559" t="s">
        <v>473</v>
      </c>
      <c r="AR21" s="556" t="s">
        <v>443</v>
      </c>
      <c r="AS21" s="556" t="s">
        <v>463</v>
      </c>
      <c r="AV21" s="555"/>
      <c r="AW21" s="555"/>
      <c r="AX21" s="555"/>
      <c r="AY21" s="555"/>
      <c r="BB21" s="556" t="s">
        <v>443</v>
      </c>
      <c r="BC21" s="556" t="s">
        <v>318</v>
      </c>
    </row>
    <row r="22" spans="1:55">
      <c r="A22" s="555">
        <v>4501</v>
      </c>
      <c r="B22" s="556" t="s">
        <v>227</v>
      </c>
      <c r="D22" s="556" t="s">
        <v>4</v>
      </c>
      <c r="F22" s="557" t="s">
        <v>422</v>
      </c>
      <c r="H22" s="557" t="s">
        <v>460</v>
      </c>
      <c r="J22" s="557" t="s">
        <v>463</v>
      </c>
      <c r="K22" s="557" t="s">
        <v>463</v>
      </c>
      <c r="L22" s="557" t="s">
        <v>463</v>
      </c>
      <c r="M22" s="557" t="s">
        <v>463</v>
      </c>
      <c r="N22" s="557" t="s">
        <v>463</v>
      </c>
      <c r="O22" s="557" t="s">
        <v>463</v>
      </c>
      <c r="P22" s="556" t="s">
        <v>463</v>
      </c>
      <c r="Q22" s="556" t="s">
        <v>463</v>
      </c>
      <c r="R22" s="556" t="s">
        <v>463</v>
      </c>
      <c r="S22" s="556" t="s">
        <v>463</v>
      </c>
      <c r="T22" s="556" t="s">
        <v>463</v>
      </c>
      <c r="U22" s="556" t="s">
        <v>463</v>
      </c>
      <c r="V22" s="556" t="s">
        <v>681</v>
      </c>
      <c r="W22" s="556" t="s">
        <v>463</v>
      </c>
      <c r="X22" s="556" t="s">
        <v>463</v>
      </c>
      <c r="Y22" s="556" t="s">
        <v>463</v>
      </c>
      <c r="Z22" s="556" t="s">
        <v>463</v>
      </c>
      <c r="AA22" s="556" t="s">
        <v>463</v>
      </c>
      <c r="AB22" s="556" t="s">
        <v>463</v>
      </c>
      <c r="AC22" s="557" t="s">
        <v>463</v>
      </c>
      <c r="AD22" s="556" t="s">
        <v>463</v>
      </c>
      <c r="AE22" s="556" t="s">
        <v>463</v>
      </c>
      <c r="AF22" s="556" t="s">
        <v>270</v>
      </c>
      <c r="AG22" s="557" t="s">
        <v>463</v>
      </c>
      <c r="AH22" s="558" t="s">
        <v>466</v>
      </c>
      <c r="AI22" s="559" t="s">
        <v>463</v>
      </c>
      <c r="AJ22" s="557" t="s">
        <v>514</v>
      </c>
      <c r="AK22" s="556" t="s">
        <v>463</v>
      </c>
      <c r="AL22" s="557" t="s">
        <v>515</v>
      </c>
      <c r="AM22" s="556" t="s">
        <v>463</v>
      </c>
      <c r="AN22" s="556" t="s">
        <v>516</v>
      </c>
      <c r="AO22" s="556" t="s">
        <v>463</v>
      </c>
      <c r="AP22" s="556" t="s">
        <v>468</v>
      </c>
      <c r="AQ22" s="559" t="s">
        <v>473</v>
      </c>
      <c r="AR22" s="556" t="s">
        <v>443</v>
      </c>
      <c r="AS22" s="556" t="s">
        <v>463</v>
      </c>
      <c r="AV22" s="555"/>
      <c r="AW22" s="555"/>
      <c r="AX22" s="555"/>
      <c r="AY22" s="555"/>
      <c r="BB22" s="556" t="s">
        <v>443</v>
      </c>
      <c r="BC22" s="556" t="s">
        <v>228</v>
      </c>
    </row>
    <row r="23" spans="1:55">
      <c r="A23" s="555">
        <v>5001</v>
      </c>
      <c r="B23" s="556" t="s">
        <v>225</v>
      </c>
      <c r="D23" s="556" t="s">
        <v>4</v>
      </c>
      <c r="F23" s="557" t="s">
        <v>422</v>
      </c>
      <c r="H23" s="557" t="s">
        <v>460</v>
      </c>
      <c r="J23" s="557" t="s">
        <v>705</v>
      </c>
      <c r="K23" s="557" t="s">
        <v>714</v>
      </c>
      <c r="L23" s="557" t="s">
        <v>715</v>
      </c>
      <c r="M23" s="557" t="s">
        <v>716</v>
      </c>
      <c r="N23" s="557" t="s">
        <v>717</v>
      </c>
      <c r="O23" s="557" t="s">
        <v>463</v>
      </c>
      <c r="P23" s="556" t="s">
        <v>463</v>
      </c>
      <c r="Q23" s="556" t="s">
        <v>463</v>
      </c>
      <c r="R23" s="556" t="s">
        <v>463</v>
      </c>
      <c r="S23" s="556" t="s">
        <v>463</v>
      </c>
      <c r="T23" s="556" t="s">
        <v>463</v>
      </c>
      <c r="U23" s="556" t="s">
        <v>463</v>
      </c>
      <c r="V23" s="556" t="s">
        <v>681</v>
      </c>
      <c r="W23" s="556" t="s">
        <v>683</v>
      </c>
      <c r="X23" s="556" t="s">
        <v>463</v>
      </c>
      <c r="Y23" s="556" t="s">
        <v>463</v>
      </c>
      <c r="Z23" s="556" t="s">
        <v>463</v>
      </c>
      <c r="AA23" s="556" t="s">
        <v>463</v>
      </c>
      <c r="AB23" s="556" t="s">
        <v>463</v>
      </c>
      <c r="AC23" s="557" t="s">
        <v>463</v>
      </c>
      <c r="AD23" s="556" t="s">
        <v>270</v>
      </c>
      <c r="AE23" s="557" t="s">
        <v>617</v>
      </c>
      <c r="AF23" s="556" t="s">
        <v>618</v>
      </c>
      <c r="AG23" s="557" t="s">
        <v>619</v>
      </c>
      <c r="AH23" s="558" t="s">
        <v>466</v>
      </c>
      <c r="AI23" s="559" t="s">
        <v>615</v>
      </c>
      <c r="AJ23" s="557" t="s">
        <v>514</v>
      </c>
      <c r="AK23" s="556" t="s">
        <v>620</v>
      </c>
      <c r="AL23" s="557" t="s">
        <v>515</v>
      </c>
      <c r="AM23" s="556" t="s">
        <v>621</v>
      </c>
      <c r="AN23" s="556" t="s">
        <v>516</v>
      </c>
      <c r="AO23" s="556" t="s">
        <v>478</v>
      </c>
      <c r="AP23" s="556" t="s">
        <v>468</v>
      </c>
      <c r="AQ23" s="559" t="s">
        <v>477</v>
      </c>
      <c r="AR23" s="556" t="s">
        <v>443</v>
      </c>
      <c r="AS23" s="556" t="s">
        <v>207</v>
      </c>
      <c r="AV23" s="555"/>
      <c r="AW23" s="555"/>
      <c r="AX23" s="560"/>
      <c r="AY23" s="560"/>
    </row>
    <row r="24" spans="1:55">
      <c r="A24" s="555">
        <v>5002</v>
      </c>
      <c r="B24" s="556" t="s">
        <v>226</v>
      </c>
      <c r="D24" s="556" t="s">
        <v>4</v>
      </c>
      <c r="F24" s="557" t="s">
        <v>422</v>
      </c>
      <c r="H24" s="557" t="s">
        <v>460</v>
      </c>
      <c r="J24" s="557" t="s">
        <v>463</v>
      </c>
      <c r="K24" s="557" t="s">
        <v>463</v>
      </c>
      <c r="L24" s="557" t="s">
        <v>463</v>
      </c>
      <c r="M24" s="557" t="s">
        <v>463</v>
      </c>
      <c r="N24" s="557" t="s">
        <v>463</v>
      </c>
      <c r="O24" s="557" t="s">
        <v>463</v>
      </c>
      <c r="P24" s="556" t="s">
        <v>463</v>
      </c>
      <c r="Q24" s="556" t="s">
        <v>463</v>
      </c>
      <c r="R24" s="556" t="s">
        <v>463</v>
      </c>
      <c r="S24" s="556" t="s">
        <v>463</v>
      </c>
      <c r="T24" s="556" t="s">
        <v>463</v>
      </c>
      <c r="U24" s="556" t="s">
        <v>463</v>
      </c>
      <c r="V24" s="556" t="s">
        <v>681</v>
      </c>
      <c r="W24" s="556" t="s">
        <v>463</v>
      </c>
      <c r="X24" s="556" t="s">
        <v>463</v>
      </c>
      <c r="Y24" s="556" t="s">
        <v>463</v>
      </c>
      <c r="Z24" s="556" t="s">
        <v>463</v>
      </c>
      <c r="AA24" s="556" t="s">
        <v>463</v>
      </c>
      <c r="AB24" s="556" t="s">
        <v>463</v>
      </c>
      <c r="AC24" s="557" t="s">
        <v>463</v>
      </c>
      <c r="AD24" s="556" t="s">
        <v>270</v>
      </c>
      <c r="AE24" s="557" t="s">
        <v>617</v>
      </c>
      <c r="AF24" s="556" t="s">
        <v>622</v>
      </c>
      <c r="AG24" s="557" t="s">
        <v>623</v>
      </c>
      <c r="AH24" s="558" t="s">
        <v>466</v>
      </c>
      <c r="AI24" s="559" t="s">
        <v>615</v>
      </c>
      <c r="AJ24" s="557" t="s">
        <v>514</v>
      </c>
      <c r="AK24" s="556" t="s">
        <v>620</v>
      </c>
      <c r="AL24" s="557" t="s">
        <v>515</v>
      </c>
      <c r="AM24" s="556" t="s">
        <v>621</v>
      </c>
      <c r="AN24" s="556" t="s">
        <v>516</v>
      </c>
      <c r="AO24" s="556" t="s">
        <v>463</v>
      </c>
      <c r="AP24" s="556" t="s">
        <v>468</v>
      </c>
      <c r="AQ24" s="559" t="s">
        <v>477</v>
      </c>
      <c r="AR24" s="556" t="s">
        <v>443</v>
      </c>
      <c r="AS24" s="556" t="s">
        <v>207</v>
      </c>
      <c r="AV24" s="555"/>
      <c r="AW24" s="555"/>
      <c r="AX24" s="560"/>
      <c r="AY24" s="560"/>
    </row>
    <row r="25" spans="1:55">
      <c r="A25" s="555">
        <v>5062</v>
      </c>
      <c r="B25" s="556" t="s">
        <v>624</v>
      </c>
      <c r="C25" s="556" t="s">
        <v>634</v>
      </c>
      <c r="D25" s="556" t="s">
        <v>4</v>
      </c>
      <c r="E25" s="556" t="s">
        <v>625</v>
      </c>
      <c r="F25" s="557" t="s">
        <v>422</v>
      </c>
      <c r="G25" s="556" t="s">
        <v>629</v>
      </c>
      <c r="H25" s="557" t="s">
        <v>422</v>
      </c>
      <c r="I25" s="556" t="s">
        <v>626</v>
      </c>
      <c r="J25" s="557" t="s">
        <v>627</v>
      </c>
      <c r="K25" s="557" t="s">
        <v>628</v>
      </c>
      <c r="L25" s="557" t="s">
        <v>633</v>
      </c>
      <c r="M25" s="557" t="s">
        <v>630</v>
      </c>
      <c r="N25" s="557" t="s">
        <v>633</v>
      </c>
      <c r="O25" s="557" t="s">
        <v>631</v>
      </c>
      <c r="P25" s="557" t="s">
        <v>633</v>
      </c>
      <c r="Q25" s="556" t="s">
        <v>632</v>
      </c>
      <c r="R25" s="556" t="s">
        <v>460</v>
      </c>
      <c r="S25" s="556" t="s">
        <v>725</v>
      </c>
      <c r="T25" s="556" t="s">
        <v>463</v>
      </c>
      <c r="U25" s="556" t="s">
        <v>463</v>
      </c>
      <c r="V25" s="556" t="s">
        <v>681</v>
      </c>
      <c r="W25" s="556" t="s">
        <v>683</v>
      </c>
      <c r="X25" s="556" t="s">
        <v>463</v>
      </c>
      <c r="Y25" s="556" t="s">
        <v>463</v>
      </c>
      <c r="Z25" s="556" t="s">
        <v>463</v>
      </c>
      <c r="AA25" s="556" t="s">
        <v>463</v>
      </c>
      <c r="AB25" s="556" t="s">
        <v>463</v>
      </c>
      <c r="AC25" s="557" t="s">
        <v>463</v>
      </c>
      <c r="AD25" s="556" t="s">
        <v>270</v>
      </c>
      <c r="AE25" s="557" t="s">
        <v>617</v>
      </c>
      <c r="AF25" s="556" t="s">
        <v>618</v>
      </c>
      <c r="AG25" s="557" t="s">
        <v>619</v>
      </c>
      <c r="AH25" s="558" t="s">
        <v>466</v>
      </c>
      <c r="AI25" s="559" t="s">
        <v>615</v>
      </c>
      <c r="AJ25" s="557" t="s">
        <v>514</v>
      </c>
      <c r="AK25" s="556" t="s">
        <v>620</v>
      </c>
      <c r="AL25" s="557" t="s">
        <v>515</v>
      </c>
      <c r="AM25" s="556" t="s">
        <v>621</v>
      </c>
      <c r="AN25" s="556" t="s">
        <v>516</v>
      </c>
      <c r="AO25" s="556" t="s">
        <v>478</v>
      </c>
      <c r="AP25" s="556" t="s">
        <v>468</v>
      </c>
      <c r="AQ25" s="559" t="s">
        <v>477</v>
      </c>
      <c r="AR25" s="556" t="s">
        <v>443</v>
      </c>
      <c r="AS25" s="556" t="s">
        <v>208</v>
      </c>
      <c r="AV25" s="555"/>
      <c r="AW25" s="555"/>
      <c r="AX25" s="555"/>
      <c r="AY25" s="555"/>
    </row>
    <row r="26" spans="1:55">
      <c r="A26" s="555">
        <v>5065</v>
      </c>
      <c r="B26" s="556" t="s">
        <v>454</v>
      </c>
      <c r="C26" s="556" t="s">
        <v>455</v>
      </c>
      <c r="D26" s="556" t="s">
        <v>4</v>
      </c>
      <c r="E26" s="556" t="s">
        <v>635</v>
      </c>
      <c r="F26" s="557" t="s">
        <v>422</v>
      </c>
      <c r="G26" s="556" t="s">
        <v>512</v>
      </c>
      <c r="H26" s="557" t="s">
        <v>460</v>
      </c>
      <c r="I26" s="556" t="s">
        <v>512</v>
      </c>
      <c r="J26" s="557"/>
      <c r="K26" s="557"/>
      <c r="L26" s="557"/>
      <c r="M26" s="557"/>
      <c r="N26" s="557"/>
      <c r="O26" s="557"/>
      <c r="P26" s="557"/>
      <c r="R26" s="556" t="s">
        <v>463</v>
      </c>
      <c r="S26" s="556" t="s">
        <v>463</v>
      </c>
      <c r="T26" s="556" t="s">
        <v>463</v>
      </c>
      <c r="V26" s="556" t="s">
        <v>681</v>
      </c>
      <c r="W26" s="556" t="s">
        <v>463</v>
      </c>
      <c r="X26" s="556" t="s">
        <v>463</v>
      </c>
      <c r="Y26" s="556" t="s">
        <v>463</v>
      </c>
      <c r="Z26" s="556" t="s">
        <v>463</v>
      </c>
      <c r="AA26" s="556" t="s">
        <v>463</v>
      </c>
      <c r="AB26" s="556" t="s">
        <v>463</v>
      </c>
      <c r="AC26" s="557" t="s">
        <v>463</v>
      </c>
      <c r="AD26" s="556" t="s">
        <v>270</v>
      </c>
      <c r="AE26" s="557" t="s">
        <v>617</v>
      </c>
      <c r="AF26" s="556" t="s">
        <v>618</v>
      </c>
      <c r="AG26" s="557" t="s">
        <v>619</v>
      </c>
      <c r="AH26" s="558" t="s">
        <v>466</v>
      </c>
      <c r="AI26" s="559" t="s">
        <v>615</v>
      </c>
      <c r="AJ26" s="557" t="s">
        <v>514</v>
      </c>
      <c r="AK26" s="556" t="s">
        <v>620</v>
      </c>
      <c r="AL26" s="557" t="s">
        <v>515</v>
      </c>
      <c r="AM26" s="556" t="s">
        <v>621</v>
      </c>
      <c r="AN26" s="556" t="s">
        <v>516</v>
      </c>
      <c r="AO26" s="556" t="s">
        <v>478</v>
      </c>
      <c r="AP26" s="556" t="s">
        <v>468</v>
      </c>
      <c r="AQ26" s="559" t="s">
        <v>477</v>
      </c>
      <c r="AR26" s="556" t="s">
        <v>443</v>
      </c>
      <c r="AS26" s="556" t="s">
        <v>457</v>
      </c>
      <c r="AV26" s="555"/>
      <c r="AW26" s="555"/>
      <c r="AX26" s="555"/>
      <c r="AY26" s="555"/>
    </row>
    <row r="27" spans="1:55">
      <c r="A27" s="555">
        <v>5066</v>
      </c>
      <c r="B27" s="556" t="s">
        <v>456</v>
      </c>
      <c r="C27" s="556" t="s">
        <v>455</v>
      </c>
      <c r="D27" s="556" t="s">
        <v>4</v>
      </c>
      <c r="E27" s="556" t="s">
        <v>635</v>
      </c>
      <c r="F27" s="557" t="s">
        <v>422</v>
      </c>
      <c r="G27" s="556" t="s">
        <v>512</v>
      </c>
      <c r="H27" s="557" t="s">
        <v>460</v>
      </c>
      <c r="I27" s="556" t="s">
        <v>512</v>
      </c>
      <c r="J27" s="557" t="s">
        <v>463</v>
      </c>
      <c r="K27" s="557" t="s">
        <v>463</v>
      </c>
      <c r="L27" s="557" t="s">
        <v>463</v>
      </c>
      <c r="M27" s="557" t="s">
        <v>463</v>
      </c>
      <c r="N27" s="557" t="s">
        <v>463</v>
      </c>
      <c r="O27" s="557" t="s">
        <v>463</v>
      </c>
      <c r="P27" s="556" t="s">
        <v>463</v>
      </c>
      <c r="Q27" s="556" t="s">
        <v>463</v>
      </c>
      <c r="R27" s="556" t="s">
        <v>463</v>
      </c>
      <c r="S27" s="556" t="s">
        <v>463</v>
      </c>
      <c r="T27" s="556" t="s">
        <v>463</v>
      </c>
      <c r="U27" s="556" t="s">
        <v>463</v>
      </c>
      <c r="V27" s="556" t="s">
        <v>681</v>
      </c>
      <c r="W27" s="556" t="s">
        <v>463</v>
      </c>
      <c r="X27" s="556" t="s">
        <v>463</v>
      </c>
      <c r="Y27" s="556" t="s">
        <v>463</v>
      </c>
      <c r="Z27" s="556" t="s">
        <v>463</v>
      </c>
      <c r="AA27" s="556" t="s">
        <v>463</v>
      </c>
      <c r="AB27" s="556" t="s">
        <v>463</v>
      </c>
      <c r="AC27" s="557" t="s">
        <v>463</v>
      </c>
      <c r="AD27" s="556" t="s">
        <v>270</v>
      </c>
      <c r="AE27" s="557" t="s">
        <v>617</v>
      </c>
      <c r="AF27" s="556" t="s">
        <v>622</v>
      </c>
      <c r="AG27" s="557" t="s">
        <v>623</v>
      </c>
      <c r="AH27" s="558" t="s">
        <v>466</v>
      </c>
      <c r="AI27" s="559" t="s">
        <v>615</v>
      </c>
      <c r="AJ27" s="557" t="s">
        <v>514</v>
      </c>
      <c r="AK27" s="556" t="s">
        <v>620</v>
      </c>
      <c r="AL27" s="557" t="s">
        <v>515</v>
      </c>
      <c r="AM27" s="556" t="s">
        <v>621</v>
      </c>
      <c r="AN27" s="556" t="s">
        <v>516</v>
      </c>
      <c r="AO27" s="556" t="s">
        <v>463</v>
      </c>
      <c r="AP27" s="556" t="s">
        <v>468</v>
      </c>
      <c r="AQ27" s="559" t="s">
        <v>477</v>
      </c>
      <c r="AR27" s="556" t="s">
        <v>443</v>
      </c>
      <c r="AS27" s="556" t="s">
        <v>457</v>
      </c>
      <c r="AV27" s="555"/>
      <c r="AW27" s="555"/>
      <c r="AX27" s="555"/>
      <c r="AY27" s="555"/>
    </row>
    <row r="28" spans="1:55">
      <c r="A28" s="555">
        <v>5081</v>
      </c>
      <c r="B28" s="556" t="s">
        <v>328</v>
      </c>
      <c r="C28" s="556" t="s">
        <v>636</v>
      </c>
      <c r="D28" s="556" t="s">
        <v>4</v>
      </c>
      <c r="E28" s="556" t="s">
        <v>613</v>
      </c>
      <c r="F28" s="557" t="s">
        <v>422</v>
      </c>
      <c r="G28" s="556" t="s">
        <v>613</v>
      </c>
      <c r="H28" s="557" t="s">
        <v>460</v>
      </c>
      <c r="I28" s="556" t="s">
        <v>613</v>
      </c>
      <c r="J28" s="557" t="s">
        <v>463</v>
      </c>
      <c r="K28" s="557" t="s">
        <v>463</v>
      </c>
      <c r="L28" s="557" t="s">
        <v>463</v>
      </c>
      <c r="M28" s="557" t="s">
        <v>463</v>
      </c>
      <c r="N28" s="557" t="s">
        <v>463</v>
      </c>
      <c r="O28" s="557" t="s">
        <v>463</v>
      </c>
      <c r="P28" s="556" t="s">
        <v>463</v>
      </c>
      <c r="Q28" s="556" t="s">
        <v>463</v>
      </c>
      <c r="R28" s="556" t="s">
        <v>463</v>
      </c>
      <c r="S28" s="556" t="s">
        <v>463</v>
      </c>
      <c r="T28" s="556" t="s">
        <v>463</v>
      </c>
      <c r="U28" s="556" t="s">
        <v>463</v>
      </c>
      <c r="V28" s="556" t="s">
        <v>681</v>
      </c>
      <c r="W28" s="556" t="s">
        <v>463</v>
      </c>
      <c r="X28" s="556" t="s">
        <v>463</v>
      </c>
      <c r="Y28" s="556" t="s">
        <v>463</v>
      </c>
      <c r="Z28" s="556" t="s">
        <v>463</v>
      </c>
      <c r="AA28" s="556" t="s">
        <v>463</v>
      </c>
      <c r="AB28" s="556" t="s">
        <v>463</v>
      </c>
      <c r="AC28" s="557" t="s">
        <v>463</v>
      </c>
      <c r="AD28" s="556" t="s">
        <v>270</v>
      </c>
      <c r="AE28" s="557" t="s">
        <v>617</v>
      </c>
      <c r="AF28" s="556" t="s">
        <v>618</v>
      </c>
      <c r="AG28" s="557" t="s">
        <v>619</v>
      </c>
      <c r="AH28" s="558" t="s">
        <v>466</v>
      </c>
      <c r="AI28" s="559" t="s">
        <v>615</v>
      </c>
      <c r="AJ28" s="557" t="s">
        <v>514</v>
      </c>
      <c r="AK28" s="556" t="s">
        <v>620</v>
      </c>
      <c r="AL28" s="557" t="s">
        <v>515</v>
      </c>
      <c r="AM28" s="556" t="s">
        <v>621</v>
      </c>
      <c r="AN28" s="556" t="s">
        <v>516</v>
      </c>
      <c r="AO28" s="556" t="s">
        <v>478</v>
      </c>
      <c r="AP28" s="556" t="s">
        <v>468</v>
      </c>
      <c r="AQ28" s="559" t="s">
        <v>477</v>
      </c>
      <c r="AR28" s="556" t="s">
        <v>443</v>
      </c>
      <c r="AS28" s="556" t="s">
        <v>637</v>
      </c>
      <c r="AV28" s="555"/>
      <c r="AW28" s="555"/>
      <c r="AX28" s="555"/>
      <c r="AY28" s="555"/>
    </row>
    <row r="29" spans="1:55">
      <c r="A29" s="555">
        <v>5101</v>
      </c>
      <c r="B29" s="556" t="s">
        <v>643</v>
      </c>
      <c r="C29" s="556" t="s">
        <v>645</v>
      </c>
      <c r="D29" s="556" t="s">
        <v>4</v>
      </c>
      <c r="E29" s="556" t="s">
        <v>415</v>
      </c>
      <c r="F29" s="557" t="s">
        <v>422</v>
      </c>
      <c r="G29" s="556" t="s">
        <v>638</v>
      </c>
      <c r="H29" s="557" t="s">
        <v>460</v>
      </c>
      <c r="I29" s="556" t="s">
        <v>512</v>
      </c>
      <c r="J29" s="557" t="s">
        <v>463</v>
      </c>
      <c r="K29" s="557" t="s">
        <v>463</v>
      </c>
      <c r="L29" s="557" t="s">
        <v>463</v>
      </c>
      <c r="M29" s="557" t="s">
        <v>463</v>
      </c>
      <c r="N29" s="557" t="s">
        <v>463</v>
      </c>
      <c r="O29" s="557" t="s">
        <v>463</v>
      </c>
      <c r="P29" s="556" t="s">
        <v>463</v>
      </c>
      <c r="Q29" s="556" t="s">
        <v>463</v>
      </c>
      <c r="R29" s="556" t="s">
        <v>463</v>
      </c>
      <c r="S29" s="556" t="s">
        <v>463</v>
      </c>
      <c r="T29" s="556" t="s">
        <v>463</v>
      </c>
      <c r="U29" s="556" t="s">
        <v>463</v>
      </c>
      <c r="V29" s="556" t="s">
        <v>681</v>
      </c>
      <c r="W29" s="556" t="s">
        <v>463</v>
      </c>
      <c r="X29" s="556" t="s">
        <v>463</v>
      </c>
      <c r="Y29" s="556" t="s">
        <v>463</v>
      </c>
      <c r="Z29" s="556" t="s">
        <v>463</v>
      </c>
      <c r="AA29" s="556" t="s">
        <v>463</v>
      </c>
      <c r="AB29" s="556" t="s">
        <v>463</v>
      </c>
      <c r="AC29" s="557" t="s">
        <v>463</v>
      </c>
      <c r="AF29" s="556" t="s">
        <v>22</v>
      </c>
      <c r="AG29" s="556" t="s">
        <v>614</v>
      </c>
      <c r="AH29" s="558" t="s">
        <v>466</v>
      </c>
      <c r="AI29" s="559" t="s">
        <v>615</v>
      </c>
      <c r="AJ29" s="557" t="s">
        <v>514</v>
      </c>
      <c r="AK29" s="556" t="s">
        <v>639</v>
      </c>
      <c r="AL29" s="557" t="s">
        <v>515</v>
      </c>
      <c r="AM29" s="556" t="s">
        <v>640</v>
      </c>
      <c r="AN29" s="556" t="s">
        <v>516</v>
      </c>
      <c r="AO29" s="556" t="s">
        <v>478</v>
      </c>
      <c r="AP29" s="556" t="s">
        <v>468</v>
      </c>
      <c r="AQ29" s="559" t="s">
        <v>473</v>
      </c>
      <c r="AR29" s="556" t="s">
        <v>443</v>
      </c>
      <c r="AS29" s="556" t="s">
        <v>641</v>
      </c>
    </row>
    <row r="30" spans="1:55">
      <c r="A30" s="555">
        <v>5111</v>
      </c>
      <c r="B30" s="556" t="s">
        <v>642</v>
      </c>
      <c r="C30" s="556" t="s">
        <v>644</v>
      </c>
      <c r="D30" s="556" t="s">
        <v>4</v>
      </c>
      <c r="E30" s="556" t="s">
        <v>646</v>
      </c>
      <c r="F30" s="557" t="s">
        <v>422</v>
      </c>
      <c r="G30" s="556" t="s">
        <v>458</v>
      </c>
      <c r="H30" s="557" t="s">
        <v>510</v>
      </c>
      <c r="I30" s="556" t="s">
        <v>647</v>
      </c>
      <c r="J30" s="557" t="s">
        <v>510</v>
      </c>
      <c r="K30" s="556" t="s">
        <v>648</v>
      </c>
      <c r="L30" s="557" t="s">
        <v>463</v>
      </c>
      <c r="M30" s="557" t="s">
        <v>463</v>
      </c>
      <c r="N30" s="557" t="s">
        <v>463</v>
      </c>
      <c r="O30" s="557" t="s">
        <v>463</v>
      </c>
      <c r="P30" s="556" t="s">
        <v>463</v>
      </c>
      <c r="Q30" s="556" t="s">
        <v>463</v>
      </c>
      <c r="R30" s="556" t="s">
        <v>463</v>
      </c>
      <c r="S30" s="556" t="s">
        <v>463</v>
      </c>
      <c r="T30" s="556" t="s">
        <v>463</v>
      </c>
      <c r="U30" s="556" t="s">
        <v>463</v>
      </c>
      <c r="V30" s="556" t="s">
        <v>681</v>
      </c>
      <c r="W30" s="556" t="s">
        <v>463</v>
      </c>
      <c r="X30" s="556" t="s">
        <v>463</v>
      </c>
      <c r="Y30" s="556" t="s">
        <v>463</v>
      </c>
      <c r="Z30" s="556" t="s">
        <v>463</v>
      </c>
      <c r="AA30" s="556" t="s">
        <v>463</v>
      </c>
      <c r="AB30" s="556" t="s">
        <v>463</v>
      </c>
      <c r="AC30" s="557" t="s">
        <v>463</v>
      </c>
      <c r="AD30" s="556" t="s">
        <v>463</v>
      </c>
      <c r="AE30" s="556" t="s">
        <v>463</v>
      </c>
      <c r="AF30" s="556" t="s">
        <v>22</v>
      </c>
      <c r="AG30" s="556" t="s">
        <v>614</v>
      </c>
      <c r="AH30" s="558" t="s">
        <v>466</v>
      </c>
      <c r="AI30" s="559" t="s">
        <v>649</v>
      </c>
      <c r="AJ30" s="557" t="s">
        <v>514</v>
      </c>
      <c r="AK30" s="556" t="s">
        <v>639</v>
      </c>
      <c r="AL30" s="557" t="s">
        <v>515</v>
      </c>
      <c r="AM30" s="556" t="s">
        <v>640</v>
      </c>
      <c r="AN30" s="556" t="s">
        <v>516</v>
      </c>
      <c r="AO30" s="556" t="s">
        <v>478</v>
      </c>
      <c r="AP30" s="556" t="s">
        <v>468</v>
      </c>
      <c r="AQ30" s="559" t="s">
        <v>473</v>
      </c>
      <c r="AR30" s="556" t="s">
        <v>443</v>
      </c>
      <c r="AS30" s="556" t="s">
        <v>641</v>
      </c>
    </row>
    <row r="31" spans="1:55">
      <c r="A31" s="555">
        <v>5301</v>
      </c>
      <c r="B31" s="556" t="s">
        <v>46</v>
      </c>
      <c r="C31" s="556" t="s">
        <v>650</v>
      </c>
      <c r="D31" s="556" t="s">
        <v>651</v>
      </c>
      <c r="E31" s="556" t="s">
        <v>652</v>
      </c>
      <c r="F31" s="556" t="s">
        <v>653</v>
      </c>
      <c r="G31" s="556" t="s">
        <v>654</v>
      </c>
      <c r="H31" s="557" t="s">
        <v>655</v>
      </c>
      <c r="I31" s="556" t="s">
        <v>656</v>
      </c>
      <c r="J31" s="557" t="s">
        <v>657</v>
      </c>
      <c r="K31" s="557" t="s">
        <v>658</v>
      </c>
      <c r="L31" s="557" t="s">
        <v>659</v>
      </c>
      <c r="M31" s="557" t="s">
        <v>660</v>
      </c>
      <c r="N31" s="557" t="s">
        <v>510</v>
      </c>
      <c r="O31" s="557" t="s">
        <v>661</v>
      </c>
      <c r="P31" s="556" t="s">
        <v>463</v>
      </c>
      <c r="Q31" s="556" t="s">
        <v>662</v>
      </c>
      <c r="R31" s="556" t="s">
        <v>463</v>
      </c>
      <c r="S31" s="556" t="s">
        <v>463</v>
      </c>
      <c r="T31" s="556" t="s">
        <v>463</v>
      </c>
      <c r="U31" s="556" t="s">
        <v>463</v>
      </c>
      <c r="V31" s="556" t="s">
        <v>681</v>
      </c>
      <c r="W31" s="556" t="s">
        <v>463</v>
      </c>
      <c r="X31" s="556" t="s">
        <v>463</v>
      </c>
      <c r="Y31" s="556" t="s">
        <v>463</v>
      </c>
      <c r="Z31" s="556" t="s">
        <v>463</v>
      </c>
      <c r="AA31" s="556" t="s">
        <v>463</v>
      </c>
      <c r="AB31" s="556" t="s">
        <v>463</v>
      </c>
      <c r="AC31" s="557" t="s">
        <v>463</v>
      </c>
      <c r="AD31" s="556" t="s">
        <v>270</v>
      </c>
      <c r="AE31" s="557" t="s">
        <v>663</v>
      </c>
      <c r="AF31" s="558" t="s">
        <v>466</v>
      </c>
      <c r="AG31" s="559" t="s">
        <v>664</v>
      </c>
      <c r="AH31" s="558" t="s">
        <v>466</v>
      </c>
      <c r="AI31" s="559" t="s">
        <v>665</v>
      </c>
      <c r="AJ31" s="557" t="s">
        <v>514</v>
      </c>
      <c r="AK31" s="556" t="s">
        <v>666</v>
      </c>
      <c r="AL31" s="557" t="s">
        <v>515</v>
      </c>
      <c r="AM31" s="556" t="s">
        <v>667</v>
      </c>
      <c r="AN31" s="556" t="s">
        <v>516</v>
      </c>
      <c r="AO31" s="556" t="s">
        <v>478</v>
      </c>
      <c r="AP31" s="556" t="s">
        <v>468</v>
      </c>
      <c r="AQ31" s="559" t="s">
        <v>476</v>
      </c>
      <c r="AR31" s="556" t="s">
        <v>443</v>
      </c>
      <c r="AS31" s="556" t="s">
        <v>668</v>
      </c>
      <c r="AV31" s="555"/>
      <c r="AW31" s="555"/>
      <c r="AX31" s="560"/>
      <c r="AY31" s="555"/>
    </row>
    <row r="32" spans="1:55">
      <c r="A32" s="555">
        <v>5302</v>
      </c>
      <c r="B32" s="556" t="s">
        <v>47</v>
      </c>
      <c r="C32" s="556" t="s">
        <v>669</v>
      </c>
      <c r="D32" s="556" t="s">
        <v>651</v>
      </c>
      <c r="E32" s="556" t="s">
        <v>652</v>
      </c>
      <c r="F32" s="556" t="s">
        <v>653</v>
      </c>
      <c r="G32" s="556" t="s">
        <v>654</v>
      </c>
      <c r="H32" s="557" t="s">
        <v>655</v>
      </c>
      <c r="I32" s="556" t="s">
        <v>656</v>
      </c>
      <c r="J32" s="557" t="s">
        <v>657</v>
      </c>
      <c r="K32" s="557" t="s">
        <v>658</v>
      </c>
      <c r="L32" s="557" t="s">
        <v>659</v>
      </c>
      <c r="M32" s="557" t="s">
        <v>660</v>
      </c>
      <c r="N32" s="557" t="s">
        <v>510</v>
      </c>
      <c r="O32" s="557" t="s">
        <v>661</v>
      </c>
      <c r="P32" s="556" t="s">
        <v>463</v>
      </c>
      <c r="Q32" s="556" t="s">
        <v>662</v>
      </c>
      <c r="R32" s="556" t="s">
        <v>463</v>
      </c>
      <c r="S32" s="556" t="s">
        <v>463</v>
      </c>
      <c r="T32" s="556" t="s">
        <v>463</v>
      </c>
      <c r="U32" s="556" t="s">
        <v>463</v>
      </c>
      <c r="V32" s="556" t="s">
        <v>681</v>
      </c>
      <c r="W32" s="556" t="s">
        <v>463</v>
      </c>
      <c r="X32" s="556" t="s">
        <v>463</v>
      </c>
      <c r="Y32" s="556" t="s">
        <v>463</v>
      </c>
      <c r="Z32" s="556" t="s">
        <v>463</v>
      </c>
      <c r="AA32" s="556" t="s">
        <v>463</v>
      </c>
      <c r="AB32" s="556" t="s">
        <v>463</v>
      </c>
      <c r="AC32" s="557" t="s">
        <v>463</v>
      </c>
      <c r="AD32" s="556" t="s">
        <v>270</v>
      </c>
      <c r="AE32" s="557" t="s">
        <v>663</v>
      </c>
      <c r="AF32" s="558" t="s">
        <v>466</v>
      </c>
      <c r="AG32" s="559" t="s">
        <v>664</v>
      </c>
      <c r="AH32" s="558" t="s">
        <v>466</v>
      </c>
      <c r="AI32" s="559" t="s">
        <v>665</v>
      </c>
      <c r="AJ32" s="557" t="s">
        <v>514</v>
      </c>
      <c r="AK32" s="556" t="s">
        <v>666</v>
      </c>
      <c r="AL32" s="557" t="s">
        <v>515</v>
      </c>
      <c r="AM32" s="556" t="s">
        <v>667</v>
      </c>
      <c r="AN32" s="556" t="s">
        <v>516</v>
      </c>
      <c r="AO32" s="556" t="s">
        <v>478</v>
      </c>
      <c r="AP32" s="556" t="s">
        <v>468</v>
      </c>
      <c r="AQ32" s="559" t="s">
        <v>476</v>
      </c>
      <c r="AR32" s="556" t="s">
        <v>443</v>
      </c>
      <c r="AS32" s="556" t="s">
        <v>668</v>
      </c>
      <c r="AV32" s="555"/>
      <c r="AW32" s="555"/>
      <c r="AX32" s="555"/>
      <c r="AY32" s="555"/>
      <c r="BB32" s="556" t="s">
        <v>443</v>
      </c>
      <c r="BC32" s="556" t="s">
        <v>335</v>
      </c>
    </row>
    <row r="33" spans="1:55">
      <c r="A33" s="555">
        <v>5321</v>
      </c>
      <c r="B33" s="556" t="s">
        <v>670</v>
      </c>
      <c r="D33" s="556" t="s">
        <v>671</v>
      </c>
      <c r="E33" s="556" t="s">
        <v>593</v>
      </c>
      <c r="F33" s="557" t="s">
        <v>672</v>
      </c>
      <c r="G33" s="556" t="s">
        <v>673</v>
      </c>
      <c r="H33" s="557" t="s">
        <v>561</v>
      </c>
      <c r="I33" s="556" t="s">
        <v>674</v>
      </c>
      <c r="J33" s="557" t="s">
        <v>422</v>
      </c>
      <c r="K33" s="557" t="s">
        <v>678</v>
      </c>
      <c r="L33" s="557" t="s">
        <v>460</v>
      </c>
      <c r="M33" s="557" t="s">
        <v>675</v>
      </c>
      <c r="N33" s="557" t="s">
        <v>463</v>
      </c>
      <c r="O33" s="557" t="s">
        <v>676</v>
      </c>
      <c r="P33" s="557" t="s">
        <v>460</v>
      </c>
      <c r="Q33" s="557" t="s">
        <v>677</v>
      </c>
      <c r="R33" s="556" t="s">
        <v>463</v>
      </c>
      <c r="S33" s="556" t="s">
        <v>463</v>
      </c>
      <c r="T33" s="556" t="s">
        <v>463</v>
      </c>
      <c r="U33" s="556" t="s">
        <v>463</v>
      </c>
      <c r="V33" s="556" t="s">
        <v>681</v>
      </c>
      <c r="W33" s="556" t="s">
        <v>463</v>
      </c>
      <c r="X33" s="556" t="s">
        <v>463</v>
      </c>
      <c r="Y33" s="556" t="s">
        <v>463</v>
      </c>
      <c r="Z33" s="556" t="s">
        <v>463</v>
      </c>
      <c r="AA33" s="556" t="s">
        <v>463</v>
      </c>
      <c r="AB33" s="556" t="s">
        <v>463</v>
      </c>
      <c r="AC33" s="557" t="s">
        <v>463</v>
      </c>
      <c r="AD33" s="556" t="s">
        <v>463</v>
      </c>
      <c r="AE33" s="556" t="s">
        <v>463</v>
      </c>
      <c r="AF33" s="556" t="s">
        <v>270</v>
      </c>
      <c r="AG33" s="557" t="s">
        <v>609</v>
      </c>
      <c r="AH33" s="558" t="s">
        <v>466</v>
      </c>
      <c r="AI33" s="559" t="s">
        <v>679</v>
      </c>
      <c r="AJ33" s="557" t="s">
        <v>514</v>
      </c>
      <c r="AK33" s="556" t="s">
        <v>453</v>
      </c>
      <c r="AL33" s="557"/>
      <c r="AM33" s="556" t="s">
        <v>463</v>
      </c>
      <c r="AN33" s="556" t="s">
        <v>516</v>
      </c>
      <c r="AO33" s="556" t="s">
        <v>478</v>
      </c>
      <c r="AP33" s="556" t="s">
        <v>468</v>
      </c>
      <c r="AQ33" s="559" t="s">
        <v>473</v>
      </c>
      <c r="AR33" s="556" t="s">
        <v>443</v>
      </c>
      <c r="AS33" s="556" t="s">
        <v>680</v>
      </c>
      <c r="AV33" s="555"/>
      <c r="AW33" s="555"/>
      <c r="AX33" s="555"/>
      <c r="AY33" s="555"/>
      <c r="BB33" s="556" t="s">
        <v>443</v>
      </c>
      <c r="BC33" s="556" t="s">
        <v>197</v>
      </c>
    </row>
    <row r="34" spans="1:55">
      <c r="A34" s="555">
        <v>6001</v>
      </c>
      <c r="B34" s="556" t="s">
        <v>687</v>
      </c>
      <c r="C34" s="556" t="s">
        <v>487</v>
      </c>
      <c r="D34" s="556" t="s">
        <v>689</v>
      </c>
      <c r="E34" s="556" t="s">
        <v>688</v>
      </c>
      <c r="F34" s="557" t="s">
        <v>691</v>
      </c>
      <c r="G34" s="556" t="s">
        <v>692</v>
      </c>
      <c r="H34" s="557" t="s">
        <v>690</v>
      </c>
      <c r="I34" s="556" t="s">
        <v>463</v>
      </c>
      <c r="J34" s="557" t="s">
        <v>693</v>
      </c>
      <c r="K34" s="557" t="s">
        <v>613</v>
      </c>
      <c r="L34" s="557" t="s">
        <v>460</v>
      </c>
      <c r="M34" s="557" t="s">
        <v>613</v>
      </c>
      <c r="N34" s="557" t="s">
        <v>699</v>
      </c>
      <c r="O34" s="557" t="s">
        <v>694</v>
      </c>
      <c r="P34" s="557" t="s">
        <v>700</v>
      </c>
      <c r="Q34" s="557" t="s">
        <v>695</v>
      </c>
      <c r="R34" s="556" t="s">
        <v>726</v>
      </c>
      <c r="S34" s="556" t="s">
        <v>463</v>
      </c>
      <c r="T34" s="556" t="s">
        <v>463</v>
      </c>
      <c r="U34" s="556" t="s">
        <v>463</v>
      </c>
      <c r="V34" s="556" t="s">
        <v>681</v>
      </c>
      <c r="W34" s="556" t="s">
        <v>683</v>
      </c>
      <c r="X34" s="556" t="s">
        <v>463</v>
      </c>
      <c r="Y34" s="556" t="s">
        <v>463</v>
      </c>
      <c r="Z34" s="556" t="s">
        <v>463</v>
      </c>
      <c r="AA34" s="556" t="s">
        <v>463</v>
      </c>
      <c r="AB34" s="556" t="s">
        <v>463</v>
      </c>
      <c r="AC34" s="557" t="s">
        <v>463</v>
      </c>
      <c r="AD34" s="556" t="s">
        <v>463</v>
      </c>
      <c r="AE34" s="556" t="s">
        <v>463</v>
      </c>
      <c r="AF34" s="556" t="s">
        <v>270</v>
      </c>
      <c r="AG34" s="557" t="s">
        <v>463</v>
      </c>
      <c r="AH34" s="558" t="s">
        <v>466</v>
      </c>
      <c r="AI34" s="559" t="s">
        <v>463</v>
      </c>
      <c r="AJ34" s="557" t="s">
        <v>514</v>
      </c>
      <c r="AK34" s="556" t="s">
        <v>463</v>
      </c>
      <c r="AL34" s="557" t="s">
        <v>515</v>
      </c>
      <c r="AM34" s="556" t="s">
        <v>463</v>
      </c>
      <c r="AN34" s="556" t="s">
        <v>516</v>
      </c>
      <c r="AO34" s="556" t="s">
        <v>463</v>
      </c>
      <c r="AP34" s="556" t="s">
        <v>468</v>
      </c>
      <c r="AQ34" s="559" t="s">
        <v>473</v>
      </c>
      <c r="AR34" s="556" t="s">
        <v>443</v>
      </c>
      <c r="AS34" s="556" t="s">
        <v>701</v>
      </c>
      <c r="AV34" s="555" t="s">
        <v>337</v>
      </c>
      <c r="AW34" s="555"/>
      <c r="AX34" s="560">
        <v>0.13769999999999999</v>
      </c>
      <c r="AY34" s="560" t="s">
        <v>342</v>
      </c>
      <c r="AZ34" s="556" t="s">
        <v>334</v>
      </c>
      <c r="BB34" s="556" t="s">
        <v>443</v>
      </c>
      <c r="BC34" s="556" t="s">
        <v>306</v>
      </c>
    </row>
    <row r="35" spans="1:55">
      <c r="A35" s="555">
        <v>6101</v>
      </c>
      <c r="B35" s="556" t="s">
        <v>471</v>
      </c>
      <c r="C35" s="556" t="s">
        <v>459</v>
      </c>
      <c r="D35" s="556" t="s">
        <v>4</v>
      </c>
      <c r="E35" s="556" t="s">
        <v>465</v>
      </c>
      <c r="F35" s="557" t="s">
        <v>422</v>
      </c>
      <c r="G35" s="556" t="s">
        <v>464</v>
      </c>
      <c r="H35" s="557" t="s">
        <v>463</v>
      </c>
      <c r="I35" s="556" t="s">
        <v>474</v>
      </c>
      <c r="J35" s="557" t="s">
        <v>460</v>
      </c>
      <c r="K35" s="556" t="s">
        <v>461</v>
      </c>
      <c r="L35" s="557" t="s">
        <v>460</v>
      </c>
      <c r="M35" s="556" t="s">
        <v>462</v>
      </c>
      <c r="N35" s="556" t="s">
        <v>22</v>
      </c>
      <c r="O35" s="564" t="s">
        <v>472</v>
      </c>
      <c r="P35" s="556" t="s">
        <v>466</v>
      </c>
      <c r="Q35" s="556" t="s">
        <v>467</v>
      </c>
      <c r="R35" s="556" t="s">
        <v>469</v>
      </c>
      <c r="S35" s="556" t="s">
        <v>470</v>
      </c>
      <c r="T35" s="556" t="s">
        <v>463</v>
      </c>
      <c r="U35" s="556" t="s">
        <v>463</v>
      </c>
      <c r="V35" s="556" t="s">
        <v>681</v>
      </c>
      <c r="W35" s="556" t="s">
        <v>683</v>
      </c>
      <c r="X35" s="556" t="s">
        <v>463</v>
      </c>
      <c r="Y35" s="556" t="s">
        <v>469</v>
      </c>
      <c r="Z35" s="556" t="s">
        <v>470</v>
      </c>
      <c r="AA35" s="556" t="s">
        <v>463</v>
      </c>
      <c r="AB35" s="556" t="s">
        <v>463</v>
      </c>
      <c r="AC35" s="556" t="s">
        <v>463</v>
      </c>
      <c r="AD35" s="556" t="s">
        <v>463</v>
      </c>
      <c r="AE35" s="556" t="s">
        <v>463</v>
      </c>
      <c r="AF35" s="556" t="s">
        <v>270</v>
      </c>
      <c r="AG35" s="557" t="s">
        <v>696</v>
      </c>
      <c r="AH35" s="558" t="s">
        <v>466</v>
      </c>
      <c r="AI35" s="559" t="s">
        <v>731</v>
      </c>
      <c r="AJ35" s="557" t="s">
        <v>514</v>
      </c>
      <c r="AK35" s="556" t="s">
        <v>453</v>
      </c>
      <c r="AL35" s="557" t="s">
        <v>515</v>
      </c>
      <c r="AM35" s="556" t="s">
        <v>463</v>
      </c>
      <c r="AN35" s="556" t="s">
        <v>516</v>
      </c>
      <c r="AO35" s="556" t="s">
        <v>478</v>
      </c>
      <c r="AP35" s="556" t="s">
        <v>468</v>
      </c>
      <c r="AQ35" s="559" t="s">
        <v>473</v>
      </c>
      <c r="AR35" s="556" t="s">
        <v>443</v>
      </c>
      <c r="AS35" s="556" t="s">
        <v>702</v>
      </c>
      <c r="AT35" s="565"/>
      <c r="AV35" s="555"/>
      <c r="AW35" s="555" t="s">
        <v>463</v>
      </c>
      <c r="AX35" s="555"/>
      <c r="AY35" s="555"/>
    </row>
    <row r="36" spans="1:55">
      <c r="A36" s="555">
        <v>6203</v>
      </c>
      <c r="B36" s="556" t="s">
        <v>48</v>
      </c>
      <c r="C36" s="556" t="s">
        <v>359</v>
      </c>
      <c r="D36" s="556" t="s">
        <v>4</v>
      </c>
      <c r="F36" s="557" t="s">
        <v>422</v>
      </c>
      <c r="H36" s="557" t="s">
        <v>460</v>
      </c>
      <c r="J36" s="557" t="s">
        <v>463</v>
      </c>
      <c r="K36" s="557" t="s">
        <v>463</v>
      </c>
      <c r="L36" s="557" t="s">
        <v>463</v>
      </c>
      <c r="M36" s="557" t="s">
        <v>463</v>
      </c>
      <c r="N36" s="557" t="s">
        <v>463</v>
      </c>
      <c r="O36" s="557" t="s">
        <v>463</v>
      </c>
      <c r="P36" s="556" t="s">
        <v>463</v>
      </c>
      <c r="Q36" s="556" t="s">
        <v>463</v>
      </c>
      <c r="R36" s="556" t="s">
        <v>463</v>
      </c>
      <c r="S36" s="556" t="s">
        <v>463</v>
      </c>
      <c r="T36" s="556" t="s">
        <v>463</v>
      </c>
      <c r="U36" s="556" t="s">
        <v>463</v>
      </c>
      <c r="V36" s="556" t="s">
        <v>681</v>
      </c>
      <c r="W36" s="556" t="s">
        <v>463</v>
      </c>
      <c r="X36" s="556" t="s">
        <v>463</v>
      </c>
      <c r="Y36" s="556" t="s">
        <v>463</v>
      </c>
      <c r="Z36" s="556" t="s">
        <v>463</v>
      </c>
      <c r="AA36" s="556" t="s">
        <v>463</v>
      </c>
      <c r="AB36" s="556" t="s">
        <v>463</v>
      </c>
      <c r="AC36" s="557" t="s">
        <v>463</v>
      </c>
      <c r="AD36" s="556" t="s">
        <v>463</v>
      </c>
      <c r="AE36" s="556" t="s">
        <v>463</v>
      </c>
      <c r="AF36" s="556" t="s">
        <v>270</v>
      </c>
      <c r="AG36" s="557" t="s">
        <v>463</v>
      </c>
      <c r="AH36" s="558" t="s">
        <v>466</v>
      </c>
      <c r="AI36" s="559" t="s">
        <v>463</v>
      </c>
      <c r="AJ36" s="557" t="s">
        <v>514</v>
      </c>
      <c r="AK36" s="556" t="s">
        <v>463</v>
      </c>
      <c r="AL36" s="557" t="s">
        <v>515</v>
      </c>
      <c r="AM36" s="556" t="s">
        <v>463</v>
      </c>
      <c r="AN36" s="556" t="s">
        <v>516</v>
      </c>
      <c r="AO36" s="556" t="s">
        <v>463</v>
      </c>
      <c r="AP36" s="556" t="s">
        <v>468</v>
      </c>
      <c r="AQ36" s="559" t="s">
        <v>473</v>
      </c>
      <c r="AR36" s="556" t="s">
        <v>443</v>
      </c>
      <c r="AS36" s="556" t="s">
        <v>463</v>
      </c>
      <c r="AV36" s="555"/>
      <c r="AW36" s="555"/>
      <c r="AX36" s="555"/>
      <c r="AY36" s="555"/>
      <c r="BB36" s="556" t="s">
        <v>443</v>
      </c>
      <c r="BC36" s="556" t="s">
        <v>209</v>
      </c>
    </row>
    <row r="37" spans="1:55">
      <c r="A37" s="555">
        <v>6401</v>
      </c>
      <c r="B37" s="556" t="s">
        <v>49</v>
      </c>
      <c r="C37" s="556" t="s">
        <v>336</v>
      </c>
      <c r="D37" s="556" t="s">
        <v>4</v>
      </c>
      <c r="F37" s="557" t="s">
        <v>422</v>
      </c>
      <c r="H37" s="557" t="s">
        <v>460</v>
      </c>
      <c r="J37" s="557" t="s">
        <v>463</v>
      </c>
      <c r="K37" s="557" t="s">
        <v>463</v>
      </c>
      <c r="L37" s="557" t="s">
        <v>463</v>
      </c>
      <c r="M37" s="557" t="s">
        <v>463</v>
      </c>
      <c r="N37" s="557" t="s">
        <v>463</v>
      </c>
      <c r="O37" s="557" t="s">
        <v>463</v>
      </c>
      <c r="P37" s="556" t="s">
        <v>463</v>
      </c>
      <c r="Q37" s="556" t="s">
        <v>463</v>
      </c>
      <c r="R37" s="556" t="s">
        <v>463</v>
      </c>
      <c r="S37" s="556" t="s">
        <v>463</v>
      </c>
      <c r="T37" s="556" t="s">
        <v>463</v>
      </c>
      <c r="U37" s="556" t="s">
        <v>463</v>
      </c>
      <c r="V37" s="556" t="s">
        <v>681</v>
      </c>
      <c r="W37" s="556" t="s">
        <v>463</v>
      </c>
      <c r="X37" s="556" t="s">
        <v>463</v>
      </c>
      <c r="Y37" s="556" t="s">
        <v>463</v>
      </c>
      <c r="Z37" s="556" t="s">
        <v>463</v>
      </c>
      <c r="AA37" s="556" t="s">
        <v>463</v>
      </c>
      <c r="AB37" s="556" t="s">
        <v>463</v>
      </c>
      <c r="AC37" s="557" t="s">
        <v>463</v>
      </c>
      <c r="AD37" s="556" t="s">
        <v>463</v>
      </c>
      <c r="AE37" s="556" t="s">
        <v>463</v>
      </c>
      <c r="AF37" s="556" t="s">
        <v>270</v>
      </c>
      <c r="AG37" s="557" t="s">
        <v>463</v>
      </c>
      <c r="AH37" s="558" t="s">
        <v>466</v>
      </c>
      <c r="AI37" s="559" t="s">
        <v>463</v>
      </c>
      <c r="AJ37" s="557" t="s">
        <v>514</v>
      </c>
      <c r="AK37" s="556" t="s">
        <v>463</v>
      </c>
      <c r="AL37" s="557" t="s">
        <v>515</v>
      </c>
      <c r="AM37" s="556" t="s">
        <v>463</v>
      </c>
      <c r="AN37" s="556" t="s">
        <v>516</v>
      </c>
      <c r="AO37" s="556" t="s">
        <v>463</v>
      </c>
      <c r="AP37" s="556" t="s">
        <v>468</v>
      </c>
      <c r="AQ37" s="559" t="s">
        <v>473</v>
      </c>
      <c r="AR37" s="556" t="s">
        <v>443</v>
      </c>
      <c r="AS37" s="556" t="s">
        <v>463</v>
      </c>
      <c r="AV37" s="555" t="s">
        <v>338</v>
      </c>
      <c r="AW37" s="555"/>
      <c r="AX37" s="566">
        <v>0.14000000000000001</v>
      </c>
      <c r="AY37" s="560" t="s">
        <v>340</v>
      </c>
      <c r="AZ37" s="556" t="s">
        <v>334</v>
      </c>
      <c r="BB37" s="556" t="s">
        <v>443</v>
      </c>
      <c r="BC37" s="556" t="s">
        <v>210</v>
      </c>
    </row>
    <row r="38" spans="1:55">
      <c r="A38" s="555">
        <v>6402</v>
      </c>
      <c r="B38" s="556" t="s">
        <v>50</v>
      </c>
      <c r="C38" s="556" t="s">
        <v>360</v>
      </c>
      <c r="D38" s="556" t="s">
        <v>4</v>
      </c>
      <c r="F38" s="557" t="s">
        <v>422</v>
      </c>
      <c r="H38" s="557" t="s">
        <v>460</v>
      </c>
      <c r="J38" s="557" t="s">
        <v>463</v>
      </c>
      <c r="K38" s="557" t="s">
        <v>463</v>
      </c>
      <c r="L38" s="557" t="s">
        <v>463</v>
      </c>
      <c r="M38" s="557" t="s">
        <v>463</v>
      </c>
      <c r="N38" s="557" t="s">
        <v>463</v>
      </c>
      <c r="O38" s="557" t="s">
        <v>463</v>
      </c>
      <c r="P38" s="556" t="s">
        <v>463</v>
      </c>
      <c r="Q38" s="556" t="s">
        <v>463</v>
      </c>
      <c r="R38" s="556" t="s">
        <v>463</v>
      </c>
      <c r="S38" s="556" t="s">
        <v>463</v>
      </c>
      <c r="T38" s="556" t="s">
        <v>463</v>
      </c>
      <c r="U38" s="556" t="s">
        <v>463</v>
      </c>
      <c r="V38" s="556" t="s">
        <v>681</v>
      </c>
      <c r="W38" s="556" t="s">
        <v>463</v>
      </c>
      <c r="X38" s="556" t="s">
        <v>463</v>
      </c>
      <c r="Y38" s="556" t="s">
        <v>463</v>
      </c>
      <c r="Z38" s="556" t="s">
        <v>463</v>
      </c>
      <c r="AA38" s="556" t="s">
        <v>463</v>
      </c>
      <c r="AB38" s="556" t="s">
        <v>463</v>
      </c>
      <c r="AC38" s="557" t="s">
        <v>463</v>
      </c>
      <c r="AD38" s="556" t="s">
        <v>463</v>
      </c>
      <c r="AE38" s="556" t="s">
        <v>463</v>
      </c>
      <c r="AF38" s="556" t="s">
        <v>270</v>
      </c>
      <c r="AG38" s="557" t="s">
        <v>463</v>
      </c>
      <c r="AH38" s="558" t="s">
        <v>466</v>
      </c>
      <c r="AI38" s="559" t="s">
        <v>463</v>
      </c>
      <c r="AJ38" s="557" t="s">
        <v>514</v>
      </c>
      <c r="AK38" s="556" t="s">
        <v>463</v>
      </c>
      <c r="AL38" s="557" t="s">
        <v>515</v>
      </c>
      <c r="AM38" s="556" t="s">
        <v>463</v>
      </c>
      <c r="AN38" s="556" t="s">
        <v>516</v>
      </c>
      <c r="AO38" s="556" t="s">
        <v>463</v>
      </c>
      <c r="AP38" s="556" t="s">
        <v>468</v>
      </c>
      <c r="AQ38" s="559" t="s">
        <v>473</v>
      </c>
      <c r="AR38" s="556" t="s">
        <v>443</v>
      </c>
      <c r="AS38" s="556" t="s">
        <v>463</v>
      </c>
      <c r="AV38" s="555"/>
      <c r="AW38" s="555"/>
      <c r="AX38" s="555"/>
      <c r="AY38" s="555"/>
      <c r="BB38" s="556" t="s">
        <v>443</v>
      </c>
      <c r="BC38" s="556" t="s">
        <v>210</v>
      </c>
    </row>
    <row r="39" spans="1:55">
      <c r="A39" s="555">
        <v>6441</v>
      </c>
      <c r="B39" s="556" t="s">
        <v>327</v>
      </c>
      <c r="C39" s="556" t="s">
        <v>326</v>
      </c>
      <c r="D39" s="556" t="s">
        <v>4</v>
      </c>
      <c r="F39" s="557" t="s">
        <v>422</v>
      </c>
      <c r="H39" s="557" t="s">
        <v>460</v>
      </c>
      <c r="J39" s="557" t="s">
        <v>463</v>
      </c>
      <c r="K39" s="557" t="s">
        <v>463</v>
      </c>
      <c r="L39" s="557" t="s">
        <v>463</v>
      </c>
      <c r="M39" s="557" t="s">
        <v>463</v>
      </c>
      <c r="N39" s="557" t="s">
        <v>463</v>
      </c>
      <c r="O39" s="557" t="s">
        <v>463</v>
      </c>
      <c r="P39" s="556" t="s">
        <v>463</v>
      </c>
      <c r="Q39" s="556" t="s">
        <v>463</v>
      </c>
      <c r="R39" s="556" t="s">
        <v>463</v>
      </c>
      <c r="S39" s="556" t="s">
        <v>463</v>
      </c>
      <c r="T39" s="556" t="s">
        <v>463</v>
      </c>
      <c r="U39" s="556" t="s">
        <v>463</v>
      </c>
      <c r="V39" s="556" t="s">
        <v>681</v>
      </c>
      <c r="W39" s="556" t="s">
        <v>463</v>
      </c>
      <c r="X39" s="556" t="s">
        <v>463</v>
      </c>
      <c r="Y39" s="556" t="s">
        <v>463</v>
      </c>
      <c r="Z39" s="556" t="s">
        <v>463</v>
      </c>
      <c r="AA39" s="556" t="s">
        <v>463</v>
      </c>
      <c r="AB39" s="556" t="s">
        <v>463</v>
      </c>
      <c r="AC39" s="557" t="s">
        <v>463</v>
      </c>
      <c r="AD39" s="556" t="s">
        <v>463</v>
      </c>
      <c r="AE39" s="556" t="s">
        <v>463</v>
      </c>
      <c r="AF39" s="556" t="s">
        <v>270</v>
      </c>
      <c r="AG39" s="557" t="s">
        <v>463</v>
      </c>
      <c r="AH39" s="558" t="s">
        <v>466</v>
      </c>
      <c r="AI39" s="559" t="s">
        <v>463</v>
      </c>
      <c r="AJ39" s="557" t="s">
        <v>514</v>
      </c>
      <c r="AK39" s="556" t="s">
        <v>463</v>
      </c>
      <c r="AL39" s="557" t="s">
        <v>515</v>
      </c>
      <c r="AM39" s="556" t="s">
        <v>463</v>
      </c>
      <c r="AN39" s="556" t="s">
        <v>516</v>
      </c>
      <c r="AO39" s="556" t="s">
        <v>463</v>
      </c>
      <c r="AP39" s="556" t="s">
        <v>468</v>
      </c>
      <c r="AQ39" s="559" t="s">
        <v>473</v>
      </c>
      <c r="AR39" s="556" t="s">
        <v>443</v>
      </c>
      <c r="AS39" s="556" t="s">
        <v>463</v>
      </c>
      <c r="AV39" s="555" t="s">
        <v>339</v>
      </c>
      <c r="AW39" s="555"/>
      <c r="AX39" s="560">
        <v>0.13</v>
      </c>
      <c r="AY39" s="560" t="s">
        <v>341</v>
      </c>
      <c r="AZ39" s="556" t="s">
        <v>334</v>
      </c>
      <c r="BB39" s="556" t="s">
        <v>443</v>
      </c>
      <c r="BC39" s="556" t="s">
        <v>298</v>
      </c>
    </row>
    <row r="40" spans="1:55">
      <c r="A40" s="555">
        <v>6501</v>
      </c>
      <c r="B40" s="556" t="s">
        <v>51</v>
      </c>
      <c r="C40" s="556" t="s">
        <v>311</v>
      </c>
      <c r="D40" s="556" t="s">
        <v>4</v>
      </c>
      <c r="F40" s="557" t="s">
        <v>422</v>
      </c>
      <c r="H40" s="557" t="s">
        <v>460</v>
      </c>
      <c r="J40" s="557" t="s">
        <v>463</v>
      </c>
      <c r="K40" s="557" t="s">
        <v>463</v>
      </c>
      <c r="L40" s="557" t="s">
        <v>463</v>
      </c>
      <c r="M40" s="557" t="s">
        <v>463</v>
      </c>
      <c r="N40" s="557" t="s">
        <v>463</v>
      </c>
      <c r="O40" s="557" t="s">
        <v>463</v>
      </c>
      <c r="P40" s="556" t="s">
        <v>463</v>
      </c>
      <c r="Q40" s="556" t="s">
        <v>463</v>
      </c>
      <c r="R40" s="556" t="s">
        <v>463</v>
      </c>
      <c r="S40" s="556" t="s">
        <v>463</v>
      </c>
      <c r="T40" s="556" t="s">
        <v>463</v>
      </c>
      <c r="U40" s="556" t="s">
        <v>463</v>
      </c>
      <c r="V40" s="556" t="s">
        <v>681</v>
      </c>
      <c r="W40" s="556" t="s">
        <v>463</v>
      </c>
      <c r="X40" s="556" t="s">
        <v>463</v>
      </c>
      <c r="Y40" s="556" t="s">
        <v>463</v>
      </c>
      <c r="Z40" s="556" t="s">
        <v>463</v>
      </c>
      <c r="AA40" s="556" t="s">
        <v>463</v>
      </c>
      <c r="AB40" s="556" t="s">
        <v>463</v>
      </c>
      <c r="AC40" s="557" t="s">
        <v>463</v>
      </c>
      <c r="AD40" s="556" t="s">
        <v>463</v>
      </c>
      <c r="AE40" s="556" t="s">
        <v>463</v>
      </c>
      <c r="AF40" s="556" t="s">
        <v>270</v>
      </c>
      <c r="AG40" s="557" t="s">
        <v>463</v>
      </c>
      <c r="AH40" s="558" t="s">
        <v>466</v>
      </c>
      <c r="AI40" s="559" t="s">
        <v>463</v>
      </c>
      <c r="AJ40" s="557" t="s">
        <v>514</v>
      </c>
      <c r="AK40" s="556" t="s">
        <v>463</v>
      </c>
      <c r="AL40" s="557" t="s">
        <v>515</v>
      </c>
      <c r="AM40" s="556" t="s">
        <v>463</v>
      </c>
      <c r="AN40" s="556" t="s">
        <v>516</v>
      </c>
      <c r="AO40" s="556" t="s">
        <v>463</v>
      </c>
      <c r="AP40" s="556" t="s">
        <v>468</v>
      </c>
      <c r="AQ40" s="559" t="s">
        <v>473</v>
      </c>
      <c r="AR40" s="556" t="s">
        <v>443</v>
      </c>
      <c r="AS40" s="556" t="s">
        <v>463</v>
      </c>
      <c r="AV40" s="555"/>
      <c r="AW40" s="555"/>
      <c r="AX40" s="555"/>
      <c r="AY40" s="560"/>
      <c r="BB40" s="556" t="s">
        <v>443</v>
      </c>
      <c r="BC40" s="556" t="s">
        <v>315</v>
      </c>
    </row>
    <row r="41" spans="1:55">
      <c r="A41" s="555">
        <v>6511</v>
      </c>
      <c r="B41" s="556" t="s">
        <v>52</v>
      </c>
      <c r="D41" s="556" t="s">
        <v>4</v>
      </c>
      <c r="F41" s="557" t="s">
        <v>422</v>
      </c>
      <c r="H41" s="557" t="s">
        <v>460</v>
      </c>
      <c r="J41" s="557" t="s">
        <v>463</v>
      </c>
      <c r="K41" s="557" t="s">
        <v>463</v>
      </c>
      <c r="L41" s="557" t="s">
        <v>463</v>
      </c>
      <c r="M41" s="557" t="s">
        <v>463</v>
      </c>
      <c r="N41" s="557" t="s">
        <v>463</v>
      </c>
      <c r="O41" s="557" t="s">
        <v>463</v>
      </c>
      <c r="P41" s="556" t="s">
        <v>463</v>
      </c>
      <c r="Q41" s="556" t="s">
        <v>463</v>
      </c>
      <c r="R41" s="556" t="s">
        <v>463</v>
      </c>
      <c r="S41" s="556" t="s">
        <v>463</v>
      </c>
      <c r="T41" s="556" t="s">
        <v>463</v>
      </c>
      <c r="U41" s="556" t="s">
        <v>463</v>
      </c>
      <c r="V41" s="556" t="s">
        <v>681</v>
      </c>
      <c r="W41" s="556" t="s">
        <v>463</v>
      </c>
      <c r="X41" s="556" t="s">
        <v>463</v>
      </c>
      <c r="Y41" s="556" t="s">
        <v>463</v>
      </c>
      <c r="Z41" s="556" t="s">
        <v>463</v>
      </c>
      <c r="AA41" s="556" t="s">
        <v>463</v>
      </c>
      <c r="AB41" s="556" t="s">
        <v>463</v>
      </c>
      <c r="AC41" s="557" t="s">
        <v>463</v>
      </c>
      <c r="AD41" s="556" t="s">
        <v>463</v>
      </c>
      <c r="AE41" s="556" t="s">
        <v>463</v>
      </c>
      <c r="AF41" s="556" t="s">
        <v>270</v>
      </c>
      <c r="AG41" s="557" t="s">
        <v>463</v>
      </c>
      <c r="AH41" s="558" t="s">
        <v>466</v>
      </c>
      <c r="AI41" s="559" t="s">
        <v>463</v>
      </c>
      <c r="AJ41" s="557" t="s">
        <v>514</v>
      </c>
      <c r="AK41" s="556" t="s">
        <v>463</v>
      </c>
      <c r="AL41" s="557" t="s">
        <v>515</v>
      </c>
      <c r="AM41" s="556" t="s">
        <v>463</v>
      </c>
      <c r="AN41" s="556" t="s">
        <v>516</v>
      </c>
      <c r="AO41" s="556" t="s">
        <v>463</v>
      </c>
      <c r="AP41" s="556" t="s">
        <v>468</v>
      </c>
      <c r="AQ41" s="559" t="s">
        <v>473</v>
      </c>
      <c r="AR41" s="556" t="s">
        <v>443</v>
      </c>
      <c r="AS41" s="556" t="s">
        <v>463</v>
      </c>
      <c r="AV41" s="556" t="s">
        <v>312</v>
      </c>
      <c r="AW41" s="555"/>
      <c r="AX41" s="567">
        <v>0.16300000000000001</v>
      </c>
      <c r="AY41" s="566" t="s">
        <v>357</v>
      </c>
      <c r="AZ41" s="556" t="s">
        <v>375</v>
      </c>
      <c r="BA41" s="556" t="s">
        <v>21</v>
      </c>
      <c r="BB41" s="556" t="s">
        <v>443</v>
      </c>
      <c r="BC41" s="556" t="s">
        <v>211</v>
      </c>
    </row>
    <row r="42" spans="1:55">
      <c r="A42" s="555">
        <v>6601</v>
      </c>
      <c r="B42" s="556" t="s">
        <v>53</v>
      </c>
      <c r="C42" s="556" t="s">
        <v>313</v>
      </c>
      <c r="D42" s="556" t="s">
        <v>4</v>
      </c>
      <c r="F42" s="557" t="s">
        <v>422</v>
      </c>
      <c r="H42" s="557" t="s">
        <v>460</v>
      </c>
      <c r="J42" s="557" t="s">
        <v>463</v>
      </c>
      <c r="K42" s="557" t="s">
        <v>463</v>
      </c>
      <c r="L42" s="557" t="s">
        <v>463</v>
      </c>
      <c r="M42" s="557" t="s">
        <v>463</v>
      </c>
      <c r="N42" s="557" t="s">
        <v>463</v>
      </c>
      <c r="O42" s="557" t="s">
        <v>463</v>
      </c>
      <c r="P42" s="556" t="s">
        <v>463</v>
      </c>
      <c r="Q42" s="556" t="s">
        <v>463</v>
      </c>
      <c r="R42" s="556" t="s">
        <v>463</v>
      </c>
      <c r="S42" s="556" t="s">
        <v>463</v>
      </c>
      <c r="T42" s="556" t="s">
        <v>463</v>
      </c>
      <c r="U42" s="556" t="s">
        <v>463</v>
      </c>
      <c r="V42" s="556" t="s">
        <v>681</v>
      </c>
      <c r="W42" s="556" t="s">
        <v>463</v>
      </c>
      <c r="X42" s="556" t="s">
        <v>463</v>
      </c>
      <c r="Y42" s="556" t="s">
        <v>463</v>
      </c>
      <c r="Z42" s="556" t="s">
        <v>463</v>
      </c>
      <c r="AA42" s="556" t="s">
        <v>463</v>
      </c>
      <c r="AB42" s="556" t="s">
        <v>463</v>
      </c>
      <c r="AC42" s="557" t="s">
        <v>463</v>
      </c>
      <c r="AD42" s="556" t="s">
        <v>463</v>
      </c>
      <c r="AE42" s="556" t="s">
        <v>463</v>
      </c>
      <c r="AF42" s="556" t="s">
        <v>270</v>
      </c>
      <c r="AG42" s="557" t="s">
        <v>463</v>
      </c>
      <c r="AH42" s="558" t="s">
        <v>466</v>
      </c>
      <c r="AI42" s="559" t="s">
        <v>463</v>
      </c>
      <c r="AJ42" s="557" t="s">
        <v>514</v>
      </c>
      <c r="AK42" s="556" t="s">
        <v>463</v>
      </c>
      <c r="AL42" s="557" t="s">
        <v>515</v>
      </c>
      <c r="AM42" s="556" t="s">
        <v>463</v>
      </c>
      <c r="AN42" s="556" t="s">
        <v>516</v>
      </c>
      <c r="AO42" s="556" t="s">
        <v>463</v>
      </c>
      <c r="AP42" s="556" t="s">
        <v>468</v>
      </c>
      <c r="AQ42" s="559" t="s">
        <v>473</v>
      </c>
      <c r="AR42" s="556" t="s">
        <v>443</v>
      </c>
      <c r="AS42" s="556" t="s">
        <v>463</v>
      </c>
      <c r="AV42" s="557" t="s">
        <v>377</v>
      </c>
      <c r="AW42" s="555"/>
      <c r="AX42" s="560">
        <v>0.14000000000000001</v>
      </c>
      <c r="AY42" s="560" t="s">
        <v>358</v>
      </c>
      <c r="AZ42" s="556" t="s">
        <v>378</v>
      </c>
      <c r="BA42" s="556" t="s">
        <v>21</v>
      </c>
      <c r="BB42" s="556" t="s">
        <v>443</v>
      </c>
      <c r="BC42" s="556" t="s">
        <v>221</v>
      </c>
    </row>
    <row r="43" spans="1:55">
      <c r="A43" s="555">
        <v>6901</v>
      </c>
      <c r="B43" s="556" t="s">
        <v>611</v>
      </c>
      <c r="C43" s="556" t="s">
        <v>612</v>
      </c>
      <c r="D43" s="556" t="s">
        <v>4</v>
      </c>
      <c r="E43" s="556" t="s">
        <v>452</v>
      </c>
      <c r="F43" s="557" t="s">
        <v>422</v>
      </c>
      <c r="G43" s="556" t="s">
        <v>613</v>
      </c>
      <c r="H43" s="557" t="s">
        <v>460</v>
      </c>
      <c r="I43" s="556" t="s">
        <v>613</v>
      </c>
      <c r="R43" s="564"/>
      <c r="S43" s="556" t="s">
        <v>463</v>
      </c>
      <c r="T43" s="556" t="s">
        <v>463</v>
      </c>
      <c r="U43" s="556" t="s">
        <v>463</v>
      </c>
      <c r="V43" s="556" t="s">
        <v>681</v>
      </c>
      <c r="W43" s="556" t="s">
        <v>463</v>
      </c>
      <c r="X43" s="556" t="s">
        <v>463</v>
      </c>
      <c r="Y43" s="556" t="s">
        <v>463</v>
      </c>
      <c r="Z43" s="556" t="s">
        <v>463</v>
      </c>
      <c r="AA43" s="556" t="s">
        <v>463</v>
      </c>
      <c r="AB43" s="556" t="s">
        <v>463</v>
      </c>
      <c r="AC43" s="557" t="s">
        <v>463</v>
      </c>
      <c r="AD43" s="556" t="s">
        <v>463</v>
      </c>
      <c r="AE43" s="556" t="s">
        <v>463</v>
      </c>
      <c r="AF43" s="556" t="s">
        <v>270</v>
      </c>
      <c r="AG43" s="557" t="s">
        <v>614</v>
      </c>
      <c r="AH43" s="558" t="s">
        <v>466</v>
      </c>
      <c r="AI43" s="559" t="s">
        <v>615</v>
      </c>
      <c r="AJ43" s="557" t="s">
        <v>514</v>
      </c>
      <c r="AK43" s="556" t="s">
        <v>453</v>
      </c>
      <c r="AL43" s="557" t="s">
        <v>463</v>
      </c>
      <c r="AM43" s="556" t="s">
        <v>463</v>
      </c>
      <c r="AN43" s="556" t="s">
        <v>516</v>
      </c>
      <c r="AO43" s="556" t="s">
        <v>478</v>
      </c>
      <c r="AP43" s="556" t="s">
        <v>468</v>
      </c>
      <c r="AQ43" s="559" t="s">
        <v>473</v>
      </c>
      <c r="AR43" s="556" t="s">
        <v>443</v>
      </c>
      <c r="AS43" s="556" t="s">
        <v>616</v>
      </c>
      <c r="AV43" s="555" t="s">
        <v>374</v>
      </c>
      <c r="AW43" s="555"/>
      <c r="AX43" s="560">
        <v>0.1535</v>
      </c>
      <c r="AY43" s="566" t="s">
        <v>358</v>
      </c>
      <c r="BB43" s="556" t="s">
        <v>443</v>
      </c>
      <c r="BC43" s="556" t="s">
        <v>305</v>
      </c>
    </row>
    <row r="44" spans="1:55">
      <c r="A44" s="555">
        <v>6921</v>
      </c>
      <c r="B44" s="556" t="s">
        <v>302</v>
      </c>
      <c r="C44" s="556" t="s">
        <v>703</v>
      </c>
      <c r="D44" s="556" t="s">
        <v>4</v>
      </c>
      <c r="E44" s="556" t="s">
        <v>704</v>
      </c>
      <c r="F44" s="557" t="s">
        <v>422</v>
      </c>
      <c r="G44" s="556" t="s">
        <v>613</v>
      </c>
      <c r="H44" s="557" t="s">
        <v>460</v>
      </c>
      <c r="I44" s="556" t="s">
        <v>709</v>
      </c>
      <c r="J44" s="557" t="s">
        <v>705</v>
      </c>
      <c r="K44" s="557" t="s">
        <v>706</v>
      </c>
      <c r="L44" s="557" t="s">
        <v>705</v>
      </c>
      <c r="M44" s="557" t="s">
        <v>707</v>
      </c>
      <c r="N44" s="557" t="s">
        <v>705</v>
      </c>
      <c r="O44" s="557" t="s">
        <v>708</v>
      </c>
      <c r="P44" s="556" t="s">
        <v>463</v>
      </c>
      <c r="Q44" s="556" t="s">
        <v>463</v>
      </c>
      <c r="R44" s="556" t="s">
        <v>463</v>
      </c>
      <c r="S44" s="556" t="s">
        <v>463</v>
      </c>
      <c r="T44" s="556" t="s">
        <v>463</v>
      </c>
      <c r="U44" s="556" t="s">
        <v>463</v>
      </c>
      <c r="V44" s="556" t="s">
        <v>681</v>
      </c>
      <c r="W44" s="556" t="s">
        <v>463</v>
      </c>
      <c r="X44" s="556" t="s">
        <v>463</v>
      </c>
      <c r="Y44" s="556" t="s">
        <v>463</v>
      </c>
      <c r="Z44" s="556" t="s">
        <v>463</v>
      </c>
      <c r="AA44" s="556" t="s">
        <v>463</v>
      </c>
      <c r="AB44" s="556" t="s">
        <v>463</v>
      </c>
      <c r="AC44" s="557" t="s">
        <v>463</v>
      </c>
      <c r="AD44" s="556" t="s">
        <v>463</v>
      </c>
      <c r="AE44" s="556" t="s">
        <v>463</v>
      </c>
      <c r="AF44" s="556" t="s">
        <v>270</v>
      </c>
      <c r="AG44" s="557" t="s">
        <v>463</v>
      </c>
      <c r="AH44" s="558" t="s">
        <v>466</v>
      </c>
      <c r="AI44" s="559" t="s">
        <v>463</v>
      </c>
      <c r="AJ44" s="557" t="s">
        <v>514</v>
      </c>
      <c r="AK44" s="556" t="s">
        <v>463</v>
      </c>
      <c r="AL44" s="557" t="s">
        <v>515</v>
      </c>
      <c r="AM44" s="556" t="s">
        <v>463</v>
      </c>
      <c r="AN44" s="556" t="s">
        <v>516</v>
      </c>
      <c r="AO44" s="556" t="s">
        <v>463</v>
      </c>
      <c r="AP44" s="556" t="s">
        <v>468</v>
      </c>
      <c r="AQ44" s="559" t="s">
        <v>473</v>
      </c>
      <c r="AR44" s="556" t="s">
        <v>443</v>
      </c>
      <c r="AS44" s="556" t="s">
        <v>463</v>
      </c>
      <c r="AV44" s="556" t="s">
        <v>314</v>
      </c>
      <c r="AX44" s="560">
        <v>0.14369999999999999</v>
      </c>
      <c r="AY44" s="560"/>
      <c r="AZ44" s="556" t="s">
        <v>334</v>
      </c>
      <c r="BB44" s="556" t="s">
        <v>443</v>
      </c>
    </row>
    <row r="45" spans="1:55">
      <c r="A45" s="555">
        <v>7001</v>
      </c>
      <c r="B45" s="556" t="s">
        <v>760</v>
      </c>
      <c r="C45" s="556" t="s">
        <v>745</v>
      </c>
      <c r="D45" s="556" t="s">
        <v>330</v>
      </c>
      <c r="E45" s="556" t="s">
        <v>488</v>
      </c>
      <c r="F45" s="556" t="s">
        <v>463</v>
      </c>
      <c r="G45" s="557" t="s">
        <v>489</v>
      </c>
      <c r="H45" s="557" t="s">
        <v>490</v>
      </c>
      <c r="I45" s="556" t="s">
        <v>747</v>
      </c>
      <c r="J45" s="556" t="s">
        <v>491</v>
      </c>
      <c r="K45" s="556" t="s">
        <v>492</v>
      </c>
      <c r="L45" s="556" t="s">
        <v>493</v>
      </c>
      <c r="M45" s="556" t="s">
        <v>494</v>
      </c>
      <c r="N45" s="556" t="s">
        <v>495</v>
      </c>
      <c r="O45" s="556" t="s">
        <v>497</v>
      </c>
      <c r="P45" s="556" t="s">
        <v>496</v>
      </c>
      <c r="Q45" s="556" t="s">
        <v>498</v>
      </c>
      <c r="R45" s="556" t="s">
        <v>499</v>
      </c>
      <c r="S45" s="556" t="s">
        <v>500</v>
      </c>
      <c r="U45" s="556" t="s">
        <v>501</v>
      </c>
      <c r="V45" s="556" t="s">
        <v>681</v>
      </c>
      <c r="W45" s="556" t="s">
        <v>683</v>
      </c>
      <c r="X45" s="556" t="s">
        <v>463</v>
      </c>
      <c r="Y45" s="556" t="s">
        <v>463</v>
      </c>
      <c r="AA45" s="556" t="s">
        <v>463</v>
      </c>
      <c r="AB45" s="556" t="s">
        <v>463</v>
      </c>
      <c r="AC45" s="557" t="s">
        <v>463</v>
      </c>
      <c r="AD45" s="556" t="s">
        <v>463</v>
      </c>
      <c r="AE45" s="556" t="s">
        <v>463</v>
      </c>
      <c r="AF45" s="556" t="s">
        <v>270</v>
      </c>
      <c r="AG45" s="557" t="s">
        <v>463</v>
      </c>
      <c r="AH45" s="558" t="s">
        <v>466</v>
      </c>
      <c r="AI45" s="559" t="s">
        <v>463</v>
      </c>
      <c r="AJ45" s="557" t="s">
        <v>514</v>
      </c>
      <c r="AK45" s="556" t="s">
        <v>463</v>
      </c>
      <c r="AL45" s="557" t="s">
        <v>515</v>
      </c>
      <c r="AM45" s="556" t="s">
        <v>463</v>
      </c>
      <c r="AN45" s="556" t="s">
        <v>516</v>
      </c>
      <c r="AO45" s="556" t="s">
        <v>463</v>
      </c>
      <c r="AP45" s="556" t="s">
        <v>468</v>
      </c>
      <c r="AQ45" s="559" t="s">
        <v>463</v>
      </c>
      <c r="AR45" s="556" t="s">
        <v>443</v>
      </c>
      <c r="AS45" s="556" t="s">
        <v>463</v>
      </c>
      <c r="AT45" s="556" t="s">
        <v>463</v>
      </c>
      <c r="AU45" s="556" t="s">
        <v>463</v>
      </c>
      <c r="AV45" s="556" t="s">
        <v>463</v>
      </c>
      <c r="AW45" s="556" t="s">
        <v>463</v>
      </c>
      <c r="AX45" s="555" t="s">
        <v>463</v>
      </c>
      <c r="AY45" s="566" t="s">
        <v>463</v>
      </c>
      <c r="AZ45" s="556" t="s">
        <v>463</v>
      </c>
      <c r="BA45" s="556" t="s">
        <v>463</v>
      </c>
      <c r="BB45" s="556" t="s">
        <v>463</v>
      </c>
      <c r="BC45" s="556" t="s">
        <v>463</v>
      </c>
    </row>
    <row r="46" spans="1:55">
      <c r="A46" s="555">
        <v>7101</v>
      </c>
      <c r="B46" s="556" t="s">
        <v>54</v>
      </c>
      <c r="D46" s="556" t="s">
        <v>4</v>
      </c>
      <c r="F46" s="557" t="s">
        <v>422</v>
      </c>
      <c r="H46" s="557" t="s">
        <v>460</v>
      </c>
      <c r="J46" s="557" t="s">
        <v>463</v>
      </c>
      <c r="K46" s="557" t="s">
        <v>463</v>
      </c>
      <c r="L46" s="557" t="s">
        <v>463</v>
      </c>
      <c r="M46" s="557" t="s">
        <v>463</v>
      </c>
      <c r="N46" s="557" t="s">
        <v>463</v>
      </c>
      <c r="O46" s="557" t="s">
        <v>463</v>
      </c>
      <c r="P46" s="556" t="s">
        <v>463</v>
      </c>
      <c r="Q46" s="556" t="s">
        <v>463</v>
      </c>
      <c r="R46" s="556" t="s">
        <v>463</v>
      </c>
      <c r="S46" s="556" t="s">
        <v>463</v>
      </c>
      <c r="T46" s="556" t="s">
        <v>463</v>
      </c>
      <c r="U46" s="556" t="s">
        <v>463</v>
      </c>
      <c r="V46" s="556" t="s">
        <v>681</v>
      </c>
      <c r="W46" s="556" t="s">
        <v>463</v>
      </c>
      <c r="X46" s="556" t="s">
        <v>463</v>
      </c>
      <c r="Y46" s="556" t="s">
        <v>463</v>
      </c>
      <c r="Z46" s="556" t="s">
        <v>463</v>
      </c>
      <c r="AA46" s="556" t="s">
        <v>463</v>
      </c>
      <c r="AB46" s="556" t="s">
        <v>463</v>
      </c>
      <c r="AC46" s="557" t="s">
        <v>463</v>
      </c>
      <c r="AD46" s="556" t="s">
        <v>463</v>
      </c>
      <c r="AE46" s="556" t="s">
        <v>463</v>
      </c>
      <c r="AF46" s="556" t="s">
        <v>270</v>
      </c>
      <c r="AG46" s="557" t="s">
        <v>463</v>
      </c>
      <c r="AH46" s="558" t="s">
        <v>466</v>
      </c>
      <c r="AI46" s="559" t="s">
        <v>463</v>
      </c>
      <c r="AJ46" s="557" t="s">
        <v>514</v>
      </c>
      <c r="AK46" s="556" t="s">
        <v>463</v>
      </c>
      <c r="AL46" s="557" t="s">
        <v>515</v>
      </c>
      <c r="AM46" s="556" t="s">
        <v>463</v>
      </c>
      <c r="AN46" s="556" t="s">
        <v>516</v>
      </c>
      <c r="AO46" s="556" t="s">
        <v>463</v>
      </c>
      <c r="AP46" s="556" t="s">
        <v>468</v>
      </c>
      <c r="AQ46" s="559" t="s">
        <v>473</v>
      </c>
      <c r="AR46" s="556" t="s">
        <v>443</v>
      </c>
      <c r="AS46" s="556" t="s">
        <v>463</v>
      </c>
      <c r="AV46" s="555" t="s">
        <v>331</v>
      </c>
      <c r="AW46" s="555"/>
      <c r="AX46" s="560">
        <v>0.1328</v>
      </c>
      <c r="AY46" s="566"/>
      <c r="AZ46" s="556" t="s">
        <v>332</v>
      </c>
      <c r="BA46" s="556" t="s">
        <v>21</v>
      </c>
      <c r="BB46" s="556" t="s">
        <v>443</v>
      </c>
      <c r="BC46" s="556" t="s">
        <v>260</v>
      </c>
    </row>
    <row r="47" spans="1:55">
      <c r="A47" s="555">
        <v>7201</v>
      </c>
      <c r="B47" s="556" t="s">
        <v>229</v>
      </c>
      <c r="D47" s="556" t="s">
        <v>4</v>
      </c>
      <c r="F47" s="557" t="s">
        <v>422</v>
      </c>
      <c r="H47" s="557" t="s">
        <v>460</v>
      </c>
      <c r="J47" s="557" t="s">
        <v>463</v>
      </c>
      <c r="K47" s="557" t="s">
        <v>463</v>
      </c>
      <c r="L47" s="557" t="s">
        <v>463</v>
      </c>
      <c r="M47" s="557" t="s">
        <v>463</v>
      </c>
      <c r="N47" s="557" t="s">
        <v>463</v>
      </c>
      <c r="O47" s="557" t="s">
        <v>463</v>
      </c>
      <c r="P47" s="556" t="s">
        <v>463</v>
      </c>
      <c r="Q47" s="556" t="s">
        <v>463</v>
      </c>
      <c r="R47" s="556" t="s">
        <v>463</v>
      </c>
      <c r="S47" s="556" t="s">
        <v>463</v>
      </c>
      <c r="T47" s="556" t="s">
        <v>463</v>
      </c>
      <c r="U47" s="556" t="s">
        <v>463</v>
      </c>
      <c r="V47" s="556" t="s">
        <v>681</v>
      </c>
      <c r="W47" s="556" t="s">
        <v>463</v>
      </c>
      <c r="X47" s="556" t="s">
        <v>463</v>
      </c>
      <c r="Y47" s="556" t="s">
        <v>463</v>
      </c>
      <c r="Z47" s="556" t="s">
        <v>463</v>
      </c>
      <c r="AA47" s="556" t="s">
        <v>463</v>
      </c>
      <c r="AB47" s="556" t="s">
        <v>463</v>
      </c>
      <c r="AC47" s="557" t="s">
        <v>463</v>
      </c>
      <c r="AD47" s="556" t="s">
        <v>463</v>
      </c>
      <c r="AE47" s="556" t="s">
        <v>463</v>
      </c>
      <c r="AF47" s="556" t="s">
        <v>270</v>
      </c>
      <c r="AG47" s="557" t="s">
        <v>463</v>
      </c>
      <c r="AH47" s="558" t="s">
        <v>466</v>
      </c>
      <c r="AI47" s="559" t="s">
        <v>463</v>
      </c>
      <c r="AJ47" s="557" t="s">
        <v>514</v>
      </c>
      <c r="AK47" s="556" t="s">
        <v>463</v>
      </c>
      <c r="AL47" s="557" t="s">
        <v>515</v>
      </c>
      <c r="AM47" s="556" t="s">
        <v>463</v>
      </c>
      <c r="AN47" s="556" t="s">
        <v>516</v>
      </c>
      <c r="AO47" s="556" t="s">
        <v>463</v>
      </c>
      <c r="AP47" s="556" t="s">
        <v>468</v>
      </c>
      <c r="AQ47" s="559" t="s">
        <v>473</v>
      </c>
      <c r="AR47" s="556" t="s">
        <v>443</v>
      </c>
      <c r="AS47" s="556" t="s">
        <v>463</v>
      </c>
      <c r="AT47" s="565"/>
      <c r="AV47" s="555" t="s">
        <v>333</v>
      </c>
      <c r="AW47" s="555"/>
      <c r="AX47" s="566">
        <v>0.14000000000000001</v>
      </c>
      <c r="AY47" s="566"/>
      <c r="AZ47" s="556" t="s">
        <v>334</v>
      </c>
      <c r="BB47" s="556" t="s">
        <v>443</v>
      </c>
      <c r="BC47" s="556" t="s">
        <v>230</v>
      </c>
    </row>
    <row r="48" spans="1:55">
      <c r="A48" s="555">
        <v>7301</v>
      </c>
      <c r="B48" s="556" t="s">
        <v>55</v>
      </c>
      <c r="C48" s="556" t="s">
        <v>316</v>
      </c>
      <c r="D48" s="556" t="s">
        <v>4</v>
      </c>
      <c r="F48" s="557" t="s">
        <v>422</v>
      </c>
      <c r="H48" s="557" t="s">
        <v>460</v>
      </c>
      <c r="J48" s="557" t="s">
        <v>463</v>
      </c>
      <c r="K48" s="557" t="s">
        <v>463</v>
      </c>
      <c r="L48" s="557" t="s">
        <v>463</v>
      </c>
      <c r="M48" s="557" t="s">
        <v>463</v>
      </c>
      <c r="N48" s="557" t="s">
        <v>463</v>
      </c>
      <c r="O48" s="557" t="s">
        <v>463</v>
      </c>
      <c r="P48" s="556" t="s">
        <v>463</v>
      </c>
      <c r="Q48" s="556" t="s">
        <v>463</v>
      </c>
      <c r="R48" s="556" t="s">
        <v>463</v>
      </c>
      <c r="S48" s="556" t="s">
        <v>463</v>
      </c>
      <c r="T48" s="556" t="s">
        <v>463</v>
      </c>
      <c r="U48" s="556" t="s">
        <v>463</v>
      </c>
      <c r="V48" s="556" t="s">
        <v>681</v>
      </c>
      <c r="W48" s="556" t="s">
        <v>463</v>
      </c>
      <c r="X48" s="556" t="s">
        <v>463</v>
      </c>
      <c r="Y48" s="556" t="s">
        <v>463</v>
      </c>
      <c r="Z48" s="556" t="s">
        <v>463</v>
      </c>
      <c r="AA48" s="556" t="s">
        <v>463</v>
      </c>
      <c r="AB48" s="556" t="s">
        <v>463</v>
      </c>
      <c r="AC48" s="557" t="s">
        <v>463</v>
      </c>
      <c r="AD48" s="556" t="s">
        <v>463</v>
      </c>
      <c r="AE48" s="556" t="s">
        <v>463</v>
      </c>
      <c r="AF48" s="556" t="s">
        <v>270</v>
      </c>
      <c r="AG48" s="557" t="s">
        <v>463</v>
      </c>
      <c r="AH48" s="558" t="s">
        <v>466</v>
      </c>
      <c r="AI48" s="559" t="s">
        <v>463</v>
      </c>
      <c r="AJ48" s="557" t="s">
        <v>514</v>
      </c>
      <c r="AK48" s="556" t="s">
        <v>463</v>
      </c>
      <c r="AL48" s="557" t="s">
        <v>515</v>
      </c>
      <c r="AM48" s="556" t="s">
        <v>463</v>
      </c>
      <c r="AN48" s="556" t="s">
        <v>516</v>
      </c>
      <c r="AO48" s="556" t="s">
        <v>463</v>
      </c>
      <c r="AP48" s="556" t="s">
        <v>468</v>
      </c>
      <c r="AQ48" s="559" t="s">
        <v>473</v>
      </c>
      <c r="AR48" s="556" t="s">
        <v>443</v>
      </c>
      <c r="AS48" s="556" t="s">
        <v>463</v>
      </c>
      <c r="AV48" s="555">
        <v>18</v>
      </c>
      <c r="AW48" s="555"/>
      <c r="AX48" s="560">
        <v>0.126</v>
      </c>
      <c r="AY48" s="560"/>
      <c r="AZ48" s="556" t="s">
        <v>329</v>
      </c>
      <c r="BA48" s="556" t="s">
        <v>21</v>
      </c>
      <c r="BB48" s="556" t="s">
        <v>443</v>
      </c>
      <c r="BC48" s="556" t="s">
        <v>205</v>
      </c>
    </row>
    <row r="49" spans="1:55">
      <c r="A49" s="555">
        <v>7801</v>
      </c>
      <c r="B49" s="556" t="s">
        <v>303</v>
      </c>
      <c r="D49" s="556" t="s">
        <v>4</v>
      </c>
      <c r="F49" s="557" t="s">
        <v>422</v>
      </c>
      <c r="H49" s="557" t="s">
        <v>460</v>
      </c>
      <c r="J49" s="557" t="s">
        <v>463</v>
      </c>
      <c r="K49" s="557" t="s">
        <v>463</v>
      </c>
      <c r="L49" s="557" t="s">
        <v>463</v>
      </c>
      <c r="M49" s="557" t="s">
        <v>463</v>
      </c>
      <c r="N49" s="557" t="s">
        <v>463</v>
      </c>
      <c r="O49" s="557" t="s">
        <v>463</v>
      </c>
      <c r="P49" s="556" t="s">
        <v>463</v>
      </c>
      <c r="Q49" s="556" t="s">
        <v>463</v>
      </c>
      <c r="R49" s="556" t="s">
        <v>463</v>
      </c>
      <c r="S49" s="556" t="s">
        <v>463</v>
      </c>
      <c r="T49" s="556" t="s">
        <v>463</v>
      </c>
      <c r="U49" s="556" t="s">
        <v>463</v>
      </c>
      <c r="V49" s="556" t="s">
        <v>463</v>
      </c>
      <c r="W49" s="556" t="s">
        <v>463</v>
      </c>
      <c r="X49" s="556" t="s">
        <v>463</v>
      </c>
      <c r="Y49" s="556" t="s">
        <v>463</v>
      </c>
      <c r="Z49" s="556" t="s">
        <v>463</v>
      </c>
      <c r="AA49" s="556" t="s">
        <v>463</v>
      </c>
      <c r="AB49" s="556" t="s">
        <v>463</v>
      </c>
      <c r="AC49" s="557" t="s">
        <v>463</v>
      </c>
      <c r="AD49" s="556" t="s">
        <v>463</v>
      </c>
      <c r="AE49" s="556" t="s">
        <v>463</v>
      </c>
      <c r="AQ49" s="557"/>
      <c r="AV49" s="555"/>
      <c r="AW49" s="555"/>
      <c r="AX49" s="555"/>
      <c r="AY49" s="555"/>
      <c r="BB49" s="556" t="s">
        <v>443</v>
      </c>
      <c r="BC49" s="556" t="s">
        <v>317</v>
      </c>
    </row>
    <row r="50" spans="1:55">
      <c r="F50" s="557"/>
      <c r="H50" s="557"/>
      <c r="J50" s="557"/>
      <c r="K50" s="557"/>
      <c r="L50" s="557"/>
      <c r="M50" s="557"/>
      <c r="N50" s="557"/>
      <c r="O50" s="557"/>
      <c r="W50" s="556"/>
      <c r="AQ50" s="557"/>
      <c r="AV50" s="555"/>
      <c r="AW50" s="555"/>
      <c r="AX50" s="555"/>
      <c r="AY50" s="555"/>
    </row>
    <row r="55" spans="1:55">
      <c r="F55" s="557"/>
      <c r="H55" s="557"/>
      <c r="J55" s="557"/>
      <c r="K55" s="557"/>
      <c r="L55" s="557"/>
      <c r="M55" s="557"/>
      <c r="N55" s="557"/>
      <c r="O55" s="557"/>
      <c r="W55" s="556"/>
      <c r="AH55" s="558"/>
      <c r="AI55" s="559"/>
      <c r="AJ55" s="557"/>
      <c r="AK55" s="556"/>
      <c r="AL55" s="557"/>
      <c r="AQ55" s="559"/>
      <c r="AV55" s="555"/>
      <c r="AW55" s="555"/>
      <c r="AX55" s="555"/>
      <c r="AY55" s="555"/>
    </row>
    <row r="56" spans="1:55">
      <c r="F56" s="557"/>
      <c r="H56" s="557"/>
      <c r="J56" s="557"/>
      <c r="K56" s="557"/>
      <c r="L56" s="557"/>
      <c r="M56" s="557"/>
      <c r="N56" s="557"/>
      <c r="O56" s="557"/>
      <c r="W56" s="556"/>
      <c r="AH56" s="558"/>
      <c r="AI56" s="559"/>
      <c r="AJ56" s="557"/>
      <c r="AK56" s="556"/>
      <c r="AL56" s="557"/>
      <c r="AQ56" s="559"/>
      <c r="AV56" s="555"/>
      <c r="AW56" s="555"/>
      <c r="AX56" s="555"/>
      <c r="AY56" s="555"/>
    </row>
    <row r="57" spans="1:55">
      <c r="F57" s="557"/>
      <c r="H57" s="557"/>
      <c r="J57" s="557"/>
      <c r="K57" s="557"/>
      <c r="L57" s="557"/>
      <c r="M57" s="557"/>
      <c r="N57" s="557"/>
      <c r="O57" s="557"/>
      <c r="W57" s="556"/>
      <c r="AH57" s="558"/>
      <c r="AI57" s="559"/>
      <c r="AJ57" s="557"/>
      <c r="AK57" s="556"/>
      <c r="AL57" s="557"/>
      <c r="AQ57" s="559"/>
      <c r="AV57" s="555"/>
      <c r="AW57" s="555"/>
      <c r="AX57" s="555"/>
      <c r="AY57" s="555"/>
    </row>
  </sheetData>
  <sheetProtection sheet="1" objects="1" scenarios="1"/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12"/>
  <dimension ref="A1:AK135"/>
  <sheetViews>
    <sheetView tabSelected="1" view="pageBreakPreview" zoomScaleNormal="85" zoomScaleSheetLayoutView="100" zoomScalePageLayoutView="115" workbookViewId="0">
      <selection activeCell="B63" sqref="B63:Z65"/>
    </sheetView>
  </sheetViews>
  <sheetFormatPr defaultRowHeight="12.75"/>
  <cols>
    <col min="1" max="1" width="2.5" style="304" customWidth="1"/>
    <col min="2" max="2" width="1.5" style="304" customWidth="1"/>
    <col min="3" max="3" width="2.1640625" style="304" customWidth="1"/>
    <col min="4" max="4" width="8.33203125" style="304" customWidth="1"/>
    <col min="5" max="7" width="4.5" style="304" customWidth="1"/>
    <col min="8" max="8" width="6.6640625" style="304" customWidth="1"/>
    <col min="9" max="9" width="10.1640625" style="304" customWidth="1"/>
    <col min="10" max="10" width="6.1640625" style="333" customWidth="1"/>
    <col min="11" max="11" width="1.33203125" style="333" customWidth="1"/>
    <col min="12" max="12" width="12.83203125" style="304" customWidth="1"/>
    <col min="13" max="13" width="13.83203125" style="304" customWidth="1"/>
    <col min="14" max="14" width="2.6640625" style="304" customWidth="1"/>
    <col min="15" max="16" width="3.1640625" style="304" customWidth="1"/>
    <col min="17" max="17" width="2.6640625" style="304" customWidth="1"/>
    <col min="18" max="18" width="2.5" style="304" customWidth="1"/>
    <col min="19" max="19" width="3.1640625" style="304" customWidth="1"/>
    <col min="20" max="20" width="4.1640625" style="304" customWidth="1"/>
    <col min="21" max="21" width="2.6640625" style="304" customWidth="1"/>
    <col min="22" max="23" width="2.5" style="304" customWidth="1"/>
    <col min="24" max="25" width="3.1640625" style="304" customWidth="1"/>
    <col min="26" max="26" width="2" style="304" customWidth="1"/>
    <col min="27" max="28" width="1.83203125" style="304" customWidth="1"/>
    <col min="29" max="29" width="27.33203125" style="468" hidden="1" customWidth="1"/>
    <col min="30" max="30" width="3.6640625" style="304" hidden="1" customWidth="1"/>
    <col min="31" max="31" width="9.6640625" style="468" hidden="1" customWidth="1"/>
    <col min="32" max="32" width="71" style="468" hidden="1" customWidth="1"/>
    <col min="33" max="34" width="9.33203125" style="304" hidden="1" customWidth="1"/>
    <col min="35" max="16384" width="9.33203125" style="304"/>
  </cols>
  <sheetData>
    <row r="1" spans="1:37" ht="12.75" customHeight="1">
      <c r="A1" s="303"/>
      <c r="B1" s="303"/>
      <c r="L1" s="305"/>
      <c r="M1" s="305"/>
      <c r="O1" s="687" t="s">
        <v>10</v>
      </c>
      <c r="P1" s="687"/>
      <c r="Q1" s="687"/>
      <c r="R1" s="687"/>
      <c r="S1" s="687"/>
      <c r="T1" s="687"/>
      <c r="U1" s="687"/>
      <c r="V1" s="687"/>
      <c r="W1" s="687"/>
      <c r="X1" s="687"/>
      <c r="Y1" s="687"/>
      <c r="Z1" s="687"/>
      <c r="AA1" s="492"/>
      <c r="AB1" s="371"/>
      <c r="AC1" s="466"/>
      <c r="AD1" s="371"/>
      <c r="AE1" s="472"/>
      <c r="AF1" s="472"/>
      <c r="AG1" s="371"/>
      <c r="AH1" s="371"/>
      <c r="AI1" s="371"/>
      <c r="AJ1" s="371"/>
      <c r="AK1" s="371"/>
    </row>
    <row r="2" spans="1:37" ht="19.5" customHeight="1">
      <c r="A2" s="365"/>
      <c r="B2" s="682" t="s">
        <v>433</v>
      </c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428"/>
      <c r="O2" s="688"/>
      <c r="P2" s="688"/>
      <c r="Q2" s="688"/>
      <c r="R2" s="688"/>
      <c r="S2" s="688"/>
      <c r="T2" s="688"/>
      <c r="U2" s="688"/>
      <c r="V2" s="688"/>
      <c r="W2" s="688"/>
      <c r="X2" s="688"/>
      <c r="Y2" s="688"/>
      <c r="Z2" s="688"/>
      <c r="AA2" s="492"/>
      <c r="AB2" s="367"/>
      <c r="AC2" s="465" t="s">
        <v>440</v>
      </c>
      <c r="AD2" s="367"/>
      <c r="AE2" s="472"/>
      <c r="AF2" s="473"/>
      <c r="AG2" s="367"/>
      <c r="AH2" s="367"/>
    </row>
    <row r="3" spans="1:37" ht="13.5" customHeight="1">
      <c r="A3" s="652"/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O3" s="376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8"/>
      <c r="AB3" s="367"/>
      <c r="AD3" s="367"/>
      <c r="AE3" s="473"/>
      <c r="AF3" s="473"/>
      <c r="AG3" s="367"/>
      <c r="AH3" s="367"/>
    </row>
    <row r="4" spans="1:37" ht="12.75" customHeight="1">
      <c r="A4" s="317"/>
      <c r="B4" s="358" t="s">
        <v>66</v>
      </c>
      <c r="C4" s="310"/>
      <c r="D4" s="310"/>
      <c r="E4" s="310"/>
      <c r="F4" s="310"/>
      <c r="G4" s="310"/>
      <c r="H4" s="318"/>
      <c r="I4" s="633"/>
      <c r="J4" s="634"/>
      <c r="K4" s="634"/>
      <c r="L4" s="634"/>
      <c r="M4" s="635"/>
      <c r="O4" s="379"/>
      <c r="P4" s="380" t="s">
        <v>434</v>
      </c>
      <c r="Q4" s="380"/>
      <c r="R4" s="306"/>
      <c r="S4" s="306"/>
      <c r="T4" s="306"/>
      <c r="U4" s="625"/>
      <c r="V4" s="626"/>
      <c r="W4" s="626"/>
      <c r="X4" s="626"/>
      <c r="Y4" s="627"/>
      <c r="Z4" s="332"/>
      <c r="AB4" s="367"/>
      <c r="AC4" s="706" t="s">
        <v>441</v>
      </c>
      <c r="AD4" s="367"/>
      <c r="AE4" s="702" t="e">
        <f>+VLOOKUP(U14,Vejledning!A:AV,2,1)</f>
        <v>#N/A</v>
      </c>
      <c r="AF4" s="702"/>
      <c r="AG4" s="367"/>
      <c r="AH4" s="367"/>
    </row>
    <row r="5" spans="1:37" ht="12.75" customHeight="1">
      <c r="A5" s="317"/>
      <c r="B5" s="358" t="s">
        <v>88</v>
      </c>
      <c r="C5" s="310"/>
      <c r="D5" s="310"/>
      <c r="E5" s="310"/>
      <c r="F5" s="310"/>
      <c r="G5" s="310"/>
      <c r="H5" s="318"/>
      <c r="I5" s="633"/>
      <c r="J5" s="634"/>
      <c r="K5" s="634"/>
      <c r="L5" s="634"/>
      <c r="M5" s="635"/>
      <c r="O5" s="379"/>
      <c r="P5" s="306"/>
      <c r="Q5" s="306"/>
      <c r="R5" s="306"/>
      <c r="S5" s="306"/>
      <c r="T5" s="306"/>
      <c r="U5" s="306"/>
      <c r="V5" s="331"/>
      <c r="W5" s="331"/>
      <c r="X5" s="331"/>
      <c r="Y5" s="331"/>
      <c r="Z5" s="332"/>
      <c r="AB5" s="367"/>
      <c r="AC5" s="706"/>
      <c r="AD5" s="367"/>
      <c r="AE5" s="702"/>
      <c r="AF5" s="702"/>
      <c r="AG5" s="367"/>
      <c r="AH5" s="367"/>
    </row>
    <row r="6" spans="1:37" ht="12.75" customHeight="1">
      <c r="A6" s="317"/>
      <c r="B6" s="358" t="s">
        <v>89</v>
      </c>
      <c r="C6" s="310"/>
      <c r="D6" s="310"/>
      <c r="E6" s="310"/>
      <c r="F6" s="310"/>
      <c r="G6" s="310"/>
      <c r="H6" s="318"/>
      <c r="I6" s="633"/>
      <c r="J6" s="634"/>
      <c r="K6" s="634"/>
      <c r="L6" s="634"/>
      <c r="M6" s="635"/>
      <c r="O6" s="379"/>
      <c r="P6" s="430"/>
      <c r="Q6" s="306"/>
      <c r="R6" s="640" t="s">
        <v>435</v>
      </c>
      <c r="S6" s="640"/>
      <c r="T6" s="640"/>
      <c r="U6" s="640"/>
      <c r="V6" s="640"/>
      <c r="W6" s="640"/>
      <c r="X6" s="640"/>
      <c r="Y6" s="640"/>
      <c r="Z6" s="391"/>
      <c r="AB6" s="367"/>
      <c r="AD6" s="367"/>
      <c r="AE6" s="702"/>
      <c r="AF6" s="702"/>
      <c r="AG6" s="367"/>
      <c r="AH6" s="367"/>
    </row>
    <row r="7" spans="1:37" ht="12.75" customHeight="1">
      <c r="A7" s="317"/>
      <c r="B7" s="358" t="s">
        <v>409</v>
      </c>
      <c r="C7" s="310"/>
      <c r="D7" s="310"/>
      <c r="E7" s="310"/>
      <c r="F7" s="310"/>
      <c r="G7" s="310"/>
      <c r="H7" s="318"/>
      <c r="I7" s="324"/>
      <c r="J7" s="354"/>
      <c r="K7" s="423"/>
      <c r="L7" s="413" t="s">
        <v>410</v>
      </c>
      <c r="M7" s="356">
        <v>37</v>
      </c>
      <c r="N7" s="355">
        <f>I7/MAX(M7,1)</f>
        <v>0</v>
      </c>
      <c r="O7" s="379"/>
      <c r="P7" s="357"/>
      <c r="Q7" s="357"/>
      <c r="R7" s="686" t="s">
        <v>436</v>
      </c>
      <c r="S7" s="686"/>
      <c r="T7" s="686"/>
      <c r="U7" s="686"/>
      <c r="V7" s="686"/>
      <c r="W7" s="686"/>
      <c r="X7" s="686"/>
      <c r="Y7" s="686"/>
      <c r="Z7" s="381"/>
      <c r="AB7" s="367"/>
      <c r="AC7" s="706" t="s">
        <v>442</v>
      </c>
      <c r="AD7" s="367"/>
      <c r="AE7" s="707" t="e">
        <f>+VLOOKUP(U14,Vejledning!A:AV,3,1)</f>
        <v>#N/A</v>
      </c>
      <c r="AF7" s="707"/>
      <c r="AG7" s="367"/>
      <c r="AH7" s="367"/>
    </row>
    <row r="8" spans="1:37" ht="6" customHeight="1">
      <c r="A8" s="317"/>
      <c r="B8" s="358"/>
      <c r="C8" s="641" t="s">
        <v>233</v>
      </c>
      <c r="D8" s="641"/>
      <c r="E8" s="641"/>
      <c r="F8" s="641"/>
      <c r="G8" s="641"/>
      <c r="H8" s="689"/>
      <c r="I8" s="692"/>
      <c r="J8" s="693"/>
      <c r="K8" s="693"/>
      <c r="L8" s="693"/>
      <c r="M8" s="694"/>
      <c r="N8" s="355"/>
      <c r="O8" s="379"/>
      <c r="P8" s="698"/>
      <c r="Q8" s="357"/>
      <c r="R8" s="686"/>
      <c r="S8" s="686"/>
      <c r="T8" s="686"/>
      <c r="U8" s="686"/>
      <c r="V8" s="686"/>
      <c r="W8" s="686"/>
      <c r="X8" s="686"/>
      <c r="Y8" s="686"/>
      <c r="Z8" s="381"/>
      <c r="AB8" s="367"/>
      <c r="AC8" s="706"/>
      <c r="AD8" s="367"/>
      <c r="AE8" s="707"/>
      <c r="AF8" s="707"/>
      <c r="AG8" s="367"/>
      <c r="AH8" s="367"/>
    </row>
    <row r="9" spans="1:37" ht="6.75" customHeight="1">
      <c r="A9" s="317"/>
      <c r="B9" s="358" t="s">
        <v>233</v>
      </c>
      <c r="C9" s="641"/>
      <c r="D9" s="641"/>
      <c r="E9" s="641"/>
      <c r="F9" s="641"/>
      <c r="G9" s="641"/>
      <c r="H9" s="689"/>
      <c r="I9" s="695"/>
      <c r="J9" s="696"/>
      <c r="K9" s="696"/>
      <c r="L9" s="696"/>
      <c r="M9" s="697"/>
      <c r="O9" s="379"/>
      <c r="P9" s="699"/>
      <c r="Q9" s="306"/>
      <c r="R9" s="690" t="s">
        <v>445</v>
      </c>
      <c r="S9" s="690"/>
      <c r="T9" s="690"/>
      <c r="U9" s="690"/>
      <c r="V9" s="690"/>
      <c r="W9" s="690"/>
      <c r="X9" s="690"/>
      <c r="Y9" s="690"/>
      <c r="Z9" s="391"/>
      <c r="AB9" s="370"/>
      <c r="AC9" s="467"/>
      <c r="AD9" s="370"/>
      <c r="AE9" s="707"/>
      <c r="AF9" s="707"/>
      <c r="AG9" s="370"/>
      <c r="AH9" s="370"/>
    </row>
    <row r="10" spans="1:37" ht="12.75" customHeight="1">
      <c r="A10" s="317"/>
      <c r="B10" s="358" t="s">
        <v>92</v>
      </c>
      <c r="C10" s="310"/>
      <c r="D10" s="310"/>
      <c r="E10" s="310"/>
      <c r="F10" s="310"/>
      <c r="G10" s="310"/>
      <c r="H10" s="318"/>
      <c r="I10" s="628"/>
      <c r="J10" s="629"/>
      <c r="K10" s="629"/>
      <c r="L10" s="630"/>
      <c r="M10" s="326"/>
      <c r="O10" s="379"/>
      <c r="P10" s="357"/>
      <c r="Q10" s="357"/>
      <c r="R10" s="690"/>
      <c r="S10" s="690"/>
      <c r="T10" s="690"/>
      <c r="U10" s="690"/>
      <c r="V10" s="690"/>
      <c r="W10" s="690"/>
      <c r="X10" s="690"/>
      <c r="Y10" s="690"/>
      <c r="Z10" s="381"/>
      <c r="AB10" s="370"/>
      <c r="AC10" s="467"/>
      <c r="AD10" s="370"/>
      <c r="AE10" s="368"/>
      <c r="AF10" s="368"/>
      <c r="AG10" s="370"/>
      <c r="AH10" s="370"/>
    </row>
    <row r="11" spans="1:37" ht="13.5" customHeight="1">
      <c r="A11" s="317"/>
      <c r="B11" s="359"/>
      <c r="C11" s="314"/>
      <c r="D11" s="314"/>
      <c r="E11" s="314"/>
      <c r="F11" s="314"/>
      <c r="G11" s="314"/>
      <c r="H11" s="314"/>
      <c r="I11" s="485">
        <f>+IF(+U14=7101,4,+IF(+U14=7001,3,+IF(+U14=3101,1,0)))</f>
        <v>0</v>
      </c>
      <c r="J11" s="335"/>
      <c r="K11" s="335"/>
      <c r="L11" s="489">
        <f>+IF(+I11=0,4,+(IF(+I11=1,7,+IF(+I11=3,14,+IF(+I11=4,18,4)))))</f>
        <v>4</v>
      </c>
      <c r="M11" s="490">
        <f>+IF(+I11=0,2,+(IF(+I11=1,6,+IF(+I11=3,12,+IF(+I11=4,16,2)))))</f>
        <v>2</v>
      </c>
      <c r="O11" s="379"/>
      <c r="P11" s="430"/>
      <c r="Q11" s="306"/>
      <c r="R11" s="672" t="s">
        <v>444</v>
      </c>
      <c r="S11" s="672"/>
      <c r="T11" s="672"/>
      <c r="U11" s="672"/>
      <c r="V11" s="672"/>
      <c r="W11" s="672"/>
      <c r="X11" s="672"/>
      <c r="Y11" s="672"/>
      <c r="Z11" s="391"/>
      <c r="AA11" s="325"/>
      <c r="AB11" s="370"/>
      <c r="AC11" s="467" t="e">
        <f>+VLOOKUP(U14,Vejledning!A:D,4,1)</f>
        <v>#N/A</v>
      </c>
      <c r="AD11" s="370"/>
      <c r="AE11" s="469" t="e">
        <f>+VLOOKUP(U14,Vejledning!A:AV,5,1)</f>
        <v>#N/A</v>
      </c>
      <c r="AF11" s="353"/>
      <c r="AG11" s="370"/>
      <c r="AH11" s="370"/>
    </row>
    <row r="12" spans="1:37" ht="12.75" customHeight="1">
      <c r="A12" s="317"/>
      <c r="B12" s="359" t="s">
        <v>270</v>
      </c>
      <c r="C12" s="314"/>
      <c r="D12" s="314"/>
      <c r="E12" s="314"/>
      <c r="F12" s="314"/>
      <c r="G12" s="314"/>
      <c r="H12" s="315"/>
      <c r="I12" s="324"/>
      <c r="J12" s="339" t="s">
        <v>389</v>
      </c>
      <c r="K12" s="691" t="s">
        <v>400</v>
      </c>
      <c r="L12" s="691"/>
      <c r="M12" s="348">
        <f>VLOOKUP(LønkodeNyLøn,TabelPctReg,2)</f>
        <v>31.779800000000002</v>
      </c>
      <c r="O12" s="379"/>
      <c r="P12" s="306"/>
      <c r="Q12" s="357"/>
      <c r="R12" s="672"/>
      <c r="S12" s="672"/>
      <c r="T12" s="373"/>
      <c r="U12" s="625"/>
      <c r="V12" s="626"/>
      <c r="W12" s="626"/>
      <c r="X12" s="626"/>
      <c r="Y12" s="627"/>
      <c r="Z12" s="408"/>
      <c r="AB12" s="367"/>
      <c r="AD12" s="367"/>
      <c r="AE12" s="469"/>
      <c r="AF12" s="469"/>
      <c r="AG12" s="367"/>
      <c r="AH12" s="367"/>
    </row>
    <row r="13" spans="1:37" ht="12.75" customHeight="1">
      <c r="A13" s="306"/>
      <c r="C13" s="304" t="s">
        <v>449</v>
      </c>
      <c r="K13" s="331"/>
      <c r="O13" s="382"/>
      <c r="P13" s="366"/>
      <c r="Q13" s="366"/>
      <c r="R13" s="357"/>
      <c r="S13" s="357"/>
      <c r="T13" s="357"/>
      <c r="U13" s="357"/>
      <c r="V13" s="357"/>
      <c r="W13" s="357"/>
      <c r="X13" s="357"/>
      <c r="Y13" s="357"/>
      <c r="Z13" s="383"/>
      <c r="AB13" s="367"/>
      <c r="AC13" s="468" t="e">
        <f>+VLOOKUP(U14,Vejledning!A:AP,6,1)</f>
        <v>#N/A</v>
      </c>
      <c r="AD13" s="367"/>
      <c r="AE13" s="469" t="e">
        <f>+VLOOKUP(U14,Vejledning!A:AV,7,1)</f>
        <v>#N/A</v>
      </c>
      <c r="AF13" s="469"/>
      <c r="AG13" s="367"/>
      <c r="AH13" s="367"/>
    </row>
    <row r="14" spans="1:37" ht="11.25" customHeight="1">
      <c r="A14" s="307"/>
      <c r="B14" s="307"/>
      <c r="C14" s="432" t="s">
        <v>448</v>
      </c>
      <c r="D14" s="431"/>
      <c r="E14" s="431"/>
      <c r="F14" s="431"/>
      <c r="G14" s="431"/>
      <c r="H14" s="431"/>
      <c r="I14" s="337" t="s">
        <v>162</v>
      </c>
      <c r="J14" s="337" t="s">
        <v>21</v>
      </c>
      <c r="K14" s="337"/>
      <c r="L14" s="337" t="s">
        <v>234</v>
      </c>
      <c r="M14" s="351" t="s">
        <v>235</v>
      </c>
      <c r="N14" s="308"/>
      <c r="O14" s="382"/>
      <c r="P14" s="480" t="s">
        <v>408</v>
      </c>
      <c r="Q14" s="350"/>
      <c r="R14" s="349"/>
      <c r="S14" s="349"/>
      <c r="T14" s="349"/>
      <c r="U14" s="683"/>
      <c r="V14" s="684"/>
      <c r="W14" s="684"/>
      <c r="X14" s="684"/>
      <c r="Y14" s="685"/>
      <c r="Z14" s="383"/>
      <c r="AB14" s="368"/>
      <c r="AC14" s="467"/>
      <c r="AD14" s="368"/>
      <c r="AE14" s="467"/>
      <c r="AF14" s="467"/>
      <c r="AG14" s="368"/>
      <c r="AH14" s="368"/>
    </row>
    <row r="15" spans="1:37" ht="11.25" customHeight="1">
      <c r="A15" s="309"/>
      <c r="B15" s="309"/>
      <c r="C15" s="309"/>
      <c r="D15" s="309"/>
      <c r="E15" s="309"/>
      <c r="F15" s="309"/>
      <c r="G15" s="309"/>
      <c r="H15" s="309"/>
      <c r="I15" s="337" t="s">
        <v>163</v>
      </c>
      <c r="J15" s="337" t="s">
        <v>123</v>
      </c>
      <c r="K15" s="337"/>
      <c r="L15" s="427">
        <f>Dato1</f>
        <v>42370</v>
      </c>
      <c r="M15" s="352">
        <f>Dato1</f>
        <v>42370</v>
      </c>
      <c r="N15" s="308"/>
      <c r="O15" s="379"/>
      <c r="P15" s="700" t="e">
        <f>+VLOOKUP(U14,Vejledning!1:1048576,2,1)</f>
        <v>#N/A</v>
      </c>
      <c r="Q15" s="700"/>
      <c r="R15" s="700"/>
      <c r="S15" s="700"/>
      <c r="T15" s="700"/>
      <c r="U15" s="700"/>
      <c r="V15" s="700"/>
      <c r="W15" s="700"/>
      <c r="X15" s="700"/>
      <c r="Y15" s="700"/>
      <c r="Z15" s="384"/>
      <c r="AB15" s="368"/>
      <c r="AC15" s="467" t="e">
        <f>+VLOOKUP(U14,Vejledning!A:AP,8,1)</f>
        <v>#N/A</v>
      </c>
      <c r="AD15" s="368"/>
      <c r="AE15" s="469" t="e">
        <f>+VLOOKUP(U14,Vejledning!A:AV,9,1)</f>
        <v>#N/A</v>
      </c>
      <c r="AF15" s="469"/>
      <c r="AG15" s="368"/>
      <c r="AH15" s="368"/>
    </row>
    <row r="16" spans="1:37" ht="11.25" customHeight="1">
      <c r="A16" s="310"/>
      <c r="B16" s="306"/>
      <c r="C16" s="306"/>
      <c r="D16" s="306"/>
      <c r="E16" s="306"/>
      <c r="F16" s="306"/>
      <c r="G16" s="306"/>
      <c r="H16" s="306"/>
      <c r="I16" s="338">
        <f>VLOOKUP(LønkodeNyLøn,TabelPctReg,3)</f>
        <v>36616</v>
      </c>
      <c r="J16" s="337"/>
      <c r="K16" s="337"/>
      <c r="L16" s="427" t="s">
        <v>399</v>
      </c>
      <c r="M16" s="352" t="s">
        <v>399</v>
      </c>
      <c r="N16" s="311"/>
      <c r="O16" s="385"/>
      <c r="P16" s="700"/>
      <c r="Q16" s="700"/>
      <c r="R16" s="700"/>
      <c r="S16" s="700"/>
      <c r="T16" s="700"/>
      <c r="U16" s="700"/>
      <c r="V16" s="700"/>
      <c r="W16" s="700"/>
      <c r="X16" s="700"/>
      <c r="Y16" s="700"/>
      <c r="Z16" s="390"/>
      <c r="AB16" s="368"/>
      <c r="AC16" s="467"/>
      <c r="AD16" s="368"/>
      <c r="AE16" s="469"/>
      <c r="AF16" s="469"/>
      <c r="AG16" s="368"/>
      <c r="AH16" s="368"/>
    </row>
    <row r="17" spans="1:34" ht="6.75" customHeight="1">
      <c r="A17" s="310"/>
      <c r="B17" s="306"/>
      <c r="C17" s="306"/>
      <c r="D17" s="306"/>
      <c r="E17" s="306"/>
      <c r="F17" s="306"/>
      <c r="G17" s="306"/>
      <c r="H17" s="306"/>
      <c r="I17" s="311"/>
      <c r="J17" s="334"/>
      <c r="K17" s="308"/>
      <c r="L17" s="336"/>
      <c r="M17" s="336"/>
      <c r="N17" s="311"/>
      <c r="O17" s="386"/>
      <c r="P17" s="700"/>
      <c r="Q17" s="700"/>
      <c r="R17" s="700"/>
      <c r="S17" s="700"/>
      <c r="T17" s="700"/>
      <c r="U17" s="700"/>
      <c r="V17" s="700"/>
      <c r="W17" s="700"/>
      <c r="X17" s="700"/>
      <c r="Y17" s="700"/>
      <c r="Z17" s="390"/>
      <c r="AB17" s="368"/>
      <c r="AC17" s="467"/>
      <c r="AD17" s="368"/>
      <c r="AE17" s="469"/>
      <c r="AF17" s="469"/>
      <c r="AG17" s="368"/>
      <c r="AH17" s="368"/>
    </row>
    <row r="18" spans="1:34" ht="12.75" customHeight="1">
      <c r="A18" s="317"/>
      <c r="B18" s="314" t="s">
        <v>391</v>
      </c>
      <c r="C18" s="314"/>
      <c r="D18" s="314"/>
      <c r="E18" s="314"/>
      <c r="F18" s="314"/>
      <c r="G18" s="314"/>
      <c r="H18" s="314"/>
      <c r="I18" s="417"/>
      <c r="J18" s="323"/>
      <c r="K18" s="308"/>
      <c r="L18" s="312">
        <f>ROUND(VLOOKUP(J18,TabelLøn,+L11,1)*TællerNyLøn/$M$7,2)</f>
        <v>0</v>
      </c>
      <c r="M18" s="313">
        <f>L18*12</f>
        <v>0</v>
      </c>
      <c r="O18" s="386"/>
      <c r="P18" s="700"/>
      <c r="Q18" s="700"/>
      <c r="R18" s="700"/>
      <c r="S18" s="700"/>
      <c r="T18" s="700"/>
      <c r="U18" s="700"/>
      <c r="V18" s="700"/>
      <c r="W18" s="700"/>
      <c r="X18" s="700"/>
      <c r="Y18" s="700"/>
      <c r="Z18" s="390"/>
      <c r="AB18" s="368"/>
      <c r="AC18" s="467" t="e">
        <f>+VLOOKUP(U14,Vejledning!A:AP,10,1)</f>
        <v>#N/A</v>
      </c>
      <c r="AD18" s="368"/>
      <c r="AE18" s="469" t="e">
        <f>+VLOOKUP(U14,Vejledning!A:AV,11,1)</f>
        <v>#N/A</v>
      </c>
      <c r="AF18" s="469"/>
      <c r="AG18" s="368"/>
      <c r="AH18" s="368"/>
    </row>
    <row r="19" spans="1:34" ht="12.75" customHeight="1">
      <c r="A19" s="317"/>
      <c r="B19" s="314"/>
      <c r="C19" s="328" t="s">
        <v>390</v>
      </c>
      <c r="D19" s="314"/>
      <c r="E19" s="314"/>
      <c r="F19" s="314"/>
      <c r="G19" s="314"/>
      <c r="H19" s="315"/>
      <c r="I19" s="316"/>
      <c r="J19" s="426"/>
      <c r="K19" s="308"/>
      <c r="L19" s="312">
        <f>ROUND(I19/12*BeskGradNyLøn*(1+PctRegNyLøn%),2)</f>
        <v>0</v>
      </c>
      <c r="M19" s="313">
        <f>L19*12</f>
        <v>0</v>
      </c>
      <c r="O19" s="387"/>
      <c r="P19" s="701"/>
      <c r="Q19" s="701"/>
      <c r="R19" s="701"/>
      <c r="S19" s="701"/>
      <c r="T19" s="701"/>
      <c r="U19" s="701"/>
      <c r="V19" s="701"/>
      <c r="W19" s="701"/>
      <c r="X19" s="701"/>
      <c r="Y19" s="701"/>
      <c r="Z19" s="388"/>
      <c r="AB19" s="367"/>
      <c r="AD19" s="367"/>
      <c r="AE19" s="469"/>
      <c r="AF19" s="469"/>
      <c r="AG19" s="367"/>
      <c r="AH19" s="367"/>
    </row>
    <row r="20" spans="1:34" ht="6" customHeight="1">
      <c r="A20" s="317"/>
      <c r="B20" s="317"/>
      <c r="C20" s="317"/>
      <c r="D20" s="317"/>
      <c r="E20" s="317"/>
      <c r="F20" s="317"/>
      <c r="G20" s="317"/>
      <c r="H20" s="317"/>
      <c r="I20" s="329"/>
      <c r="J20" s="308"/>
      <c r="K20" s="308"/>
      <c r="L20" s="329"/>
      <c r="M20" s="329"/>
      <c r="N20" s="317"/>
      <c r="O20" s="675" t="s">
        <v>425</v>
      </c>
      <c r="P20" s="675"/>
      <c r="Q20" s="675"/>
      <c r="R20" s="675"/>
      <c r="S20" s="675"/>
      <c r="T20" s="675"/>
      <c r="U20" s="675"/>
      <c r="V20" s="675"/>
      <c r="W20" s="675"/>
      <c r="X20" s="675"/>
      <c r="Y20" s="675"/>
      <c r="Z20" s="675"/>
      <c r="AB20" s="367"/>
      <c r="AD20" s="367"/>
      <c r="AE20" s="469"/>
      <c r="AF20" s="469"/>
      <c r="AG20" s="367"/>
      <c r="AH20" s="367"/>
    </row>
    <row r="21" spans="1:34" ht="12.75" customHeight="1">
      <c r="A21" s="317"/>
      <c r="B21" s="327" t="s">
        <v>145</v>
      </c>
      <c r="C21" s="327"/>
      <c r="D21" s="327"/>
      <c r="E21" s="310"/>
      <c r="F21" s="310"/>
      <c r="G21" s="310"/>
      <c r="H21" s="310"/>
      <c r="I21" s="310"/>
      <c r="J21" s="308"/>
      <c r="K21" s="308"/>
      <c r="L21" s="310"/>
      <c r="M21" s="310"/>
      <c r="N21" s="310"/>
      <c r="O21" s="675"/>
      <c r="P21" s="675"/>
      <c r="Q21" s="675"/>
      <c r="R21" s="675"/>
      <c r="S21" s="675"/>
      <c r="T21" s="675"/>
      <c r="U21" s="675"/>
      <c r="V21" s="675"/>
      <c r="W21" s="675"/>
      <c r="X21" s="675"/>
      <c r="Y21" s="675"/>
      <c r="Z21" s="675"/>
      <c r="AB21" s="367"/>
      <c r="AC21" s="468" t="e">
        <f>+VLOOKUP(U14,Vejledning!A:AP,12,1)</f>
        <v>#N/A</v>
      </c>
      <c r="AD21" s="367"/>
      <c r="AE21" s="469" t="e">
        <f>+VLOOKUP(U14,Vejledning!A:AV,13,1)</f>
        <v>#N/A</v>
      </c>
      <c r="AF21" s="469"/>
      <c r="AG21" s="367"/>
      <c r="AH21" s="367"/>
    </row>
    <row r="22" spans="1:34" ht="6" customHeight="1">
      <c r="A22" s="317"/>
      <c r="B22" s="310"/>
      <c r="C22" s="330" t="s">
        <v>388</v>
      </c>
      <c r="D22" s="306"/>
      <c r="E22" s="306"/>
      <c r="F22" s="306"/>
      <c r="G22" s="306"/>
      <c r="H22" s="306"/>
      <c r="I22" s="306"/>
      <c r="J22" s="331"/>
      <c r="K22" s="308"/>
      <c r="L22" s="306"/>
      <c r="M22" s="306"/>
      <c r="N22" s="306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B22" s="367"/>
      <c r="AD22" s="367"/>
      <c r="AE22" s="469"/>
      <c r="AF22" s="469"/>
      <c r="AG22" s="367"/>
      <c r="AH22" s="367"/>
    </row>
    <row r="23" spans="1:34" ht="12.75" customHeight="1">
      <c r="A23" s="317"/>
      <c r="B23" s="310"/>
      <c r="C23" s="306" t="s">
        <v>395</v>
      </c>
      <c r="D23" s="310"/>
      <c r="E23" s="310"/>
      <c r="F23" s="310"/>
      <c r="G23" s="310"/>
      <c r="H23" s="310"/>
      <c r="I23" s="417"/>
      <c r="J23" s="323"/>
      <c r="K23" s="308"/>
      <c r="L23" s="312">
        <f>ROUND((VLOOKUP($J$18+J23,TabelLøn,+L11,1)-VLOOKUP($J$18,TabelLøn,+L11,1))*BeskGradNyLøn,2)</f>
        <v>0</v>
      </c>
      <c r="M23" s="313">
        <f>L23*12</f>
        <v>0</v>
      </c>
      <c r="O23" s="633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5"/>
      <c r="AB23" s="367"/>
      <c r="AG23" s="367"/>
      <c r="AH23" s="367"/>
    </row>
    <row r="24" spans="1:34" ht="12.75" customHeight="1">
      <c r="A24" s="317"/>
      <c r="B24" s="310"/>
      <c r="C24" s="306" t="s">
        <v>396</v>
      </c>
      <c r="D24" s="310"/>
      <c r="E24" s="310"/>
      <c r="F24" s="310"/>
      <c r="G24" s="310"/>
      <c r="H24" s="318"/>
      <c r="I24" s="316"/>
      <c r="J24" s="421"/>
      <c r="K24" s="308"/>
      <c r="L24" s="312">
        <f>ROUND(I24/12*BeskGradNyLøn*(1+PctRegNyLøn%),2)</f>
        <v>0</v>
      </c>
      <c r="M24" s="313">
        <f>L24*12</f>
        <v>0</v>
      </c>
      <c r="O24" s="633"/>
      <c r="P24" s="634"/>
      <c r="Q24" s="634"/>
      <c r="R24" s="634"/>
      <c r="S24" s="634"/>
      <c r="T24" s="634"/>
      <c r="U24" s="634"/>
      <c r="V24" s="634"/>
      <c r="W24" s="634"/>
      <c r="X24" s="634"/>
      <c r="Y24" s="634"/>
      <c r="Z24" s="635"/>
      <c r="AB24" s="367"/>
      <c r="AC24" s="468" t="e">
        <f>+VLOOKUP(U14,Vejledning!A:AP,14,1)</f>
        <v>#N/A</v>
      </c>
      <c r="AD24" s="367"/>
      <c r="AE24" s="469" t="e">
        <f>+VLOOKUP(U14,Vejledning!A:AV,15,1)</f>
        <v>#N/A</v>
      </c>
      <c r="AF24" s="469"/>
      <c r="AG24" s="367"/>
      <c r="AH24" s="367"/>
    </row>
    <row r="25" spans="1:34" ht="6" customHeight="1">
      <c r="A25" s="317"/>
      <c r="B25" s="310"/>
      <c r="C25" s="330" t="s">
        <v>388</v>
      </c>
      <c r="D25" s="306"/>
      <c r="E25" s="306"/>
      <c r="F25" s="306"/>
      <c r="G25" s="306"/>
      <c r="H25" s="306"/>
      <c r="I25" s="306"/>
      <c r="J25" s="331"/>
      <c r="K25" s="308"/>
      <c r="L25" s="306"/>
      <c r="M25" s="306"/>
      <c r="N25" s="306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B25" s="367"/>
      <c r="AD25" s="367"/>
      <c r="AG25" s="367"/>
      <c r="AH25" s="367"/>
    </row>
    <row r="26" spans="1:34" ht="12.75" customHeight="1">
      <c r="A26" s="317"/>
      <c r="B26" s="310"/>
      <c r="C26" s="306" t="s">
        <v>393</v>
      </c>
      <c r="D26" s="310"/>
      <c r="E26" s="310"/>
      <c r="F26" s="310"/>
      <c r="G26" s="310"/>
      <c r="H26" s="310"/>
      <c r="I26" s="418"/>
      <c r="J26" s="323"/>
      <c r="K26" s="308"/>
      <c r="L26" s="312">
        <f>ROUND((VLOOKUP($J$18+J23+J26,TabelLøn,+L11,1)-VLOOKUP($J$18+J23,TabelLøn,+L11,1))*BeskGradNyLøn,2)</f>
        <v>0</v>
      </c>
      <c r="M26" s="313">
        <f t="shared" ref="M26:M32" si="0">L26*12</f>
        <v>0</v>
      </c>
      <c r="O26" s="633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5"/>
      <c r="AB26" s="367"/>
      <c r="AC26" s="468" t="e">
        <f>+VLOOKUP(U14,Vejledning!A:AP,16,1)</f>
        <v>#N/A</v>
      </c>
      <c r="AD26" s="367"/>
      <c r="AE26" s="469" t="e">
        <f>+VLOOKUP(U14,Vejledning!A:AV,17,1)</f>
        <v>#N/A</v>
      </c>
      <c r="AF26" s="469"/>
      <c r="AG26" s="367"/>
      <c r="AH26" s="367"/>
    </row>
    <row r="27" spans="1:34" ht="12.75" customHeight="1">
      <c r="A27" s="317"/>
      <c r="B27" s="310"/>
      <c r="C27" s="306" t="s">
        <v>393</v>
      </c>
      <c r="D27" s="310"/>
      <c r="E27" s="310"/>
      <c r="F27" s="310"/>
      <c r="G27" s="310"/>
      <c r="H27" s="310"/>
      <c r="I27" s="418"/>
      <c r="J27" s="323"/>
      <c r="K27" s="308"/>
      <c r="L27" s="312">
        <f>ROUND((VLOOKUP($J$18+J23+J26+J27,TabelLøn,+L11,1)-VLOOKUP($J$18+J23+J26,TabelLøn,+L11,1))*BeskGradNyLøn,2)</f>
        <v>0</v>
      </c>
      <c r="M27" s="313">
        <f t="shared" si="0"/>
        <v>0</v>
      </c>
      <c r="O27" s="633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5"/>
      <c r="AB27" s="367"/>
      <c r="AC27" s="468" t="e">
        <f>+VLOOKUP(U14,Vejledning!A:AP,18,1)</f>
        <v>#N/A</v>
      </c>
      <c r="AD27" s="367"/>
      <c r="AE27" s="469" t="e">
        <f>+VLOOKUP(U14,Vejledning!A:AV,19,1)</f>
        <v>#N/A</v>
      </c>
      <c r="AF27" s="469"/>
      <c r="AG27" s="367"/>
      <c r="AH27" s="367"/>
    </row>
    <row r="28" spans="1:34" ht="12.75" customHeight="1">
      <c r="A28" s="317"/>
      <c r="B28" s="310"/>
      <c r="C28" s="306" t="s">
        <v>393</v>
      </c>
      <c r="D28" s="310"/>
      <c r="E28" s="310"/>
      <c r="F28" s="310"/>
      <c r="G28" s="310"/>
      <c r="H28" s="310"/>
      <c r="I28" s="417"/>
      <c r="J28" s="323"/>
      <c r="K28" s="308"/>
      <c r="L28" s="312">
        <f>ROUND((VLOOKUP($J$18+J23+J26+J27+J28,TabelLøn,+L11,1)-VLOOKUP($J$18+J23+J26+J27,TabelLøn,+L11,1))*BeskGradNyLøn,2)</f>
        <v>0</v>
      </c>
      <c r="M28" s="313">
        <f t="shared" si="0"/>
        <v>0</v>
      </c>
      <c r="O28" s="633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5"/>
      <c r="AB28" s="367"/>
      <c r="AD28" s="367"/>
      <c r="AG28" s="367"/>
      <c r="AH28" s="367"/>
    </row>
    <row r="29" spans="1:34" ht="12.75" customHeight="1">
      <c r="A29" s="317"/>
      <c r="B29" s="310"/>
      <c r="C29" s="306" t="s">
        <v>394</v>
      </c>
      <c r="D29" s="310"/>
      <c r="E29" s="310"/>
      <c r="F29" s="310"/>
      <c r="G29" s="310"/>
      <c r="H29" s="318"/>
      <c r="I29" s="316"/>
      <c r="J29" s="419"/>
      <c r="K29" s="308"/>
      <c r="L29" s="312">
        <f>ROUND(I29/12*BeskGradNyLøn*(1+PctRegNyLøn%),2)</f>
        <v>0</v>
      </c>
      <c r="M29" s="313">
        <f t="shared" si="0"/>
        <v>0</v>
      </c>
      <c r="O29" s="633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5"/>
      <c r="AB29" s="367"/>
      <c r="AC29" s="468" t="e">
        <f>+VLOOKUP(U14,Vejledning!A:AP,20,1)</f>
        <v>#N/A</v>
      </c>
      <c r="AD29" s="367"/>
      <c r="AE29" s="469" t="e">
        <f>+VLOOKUP(U14,Vejledning!A:AV,21,1)</f>
        <v>#N/A</v>
      </c>
      <c r="AG29" s="367"/>
      <c r="AH29" s="367"/>
    </row>
    <row r="30" spans="1:34" ht="12.75" customHeight="1">
      <c r="A30" s="317"/>
      <c r="B30" s="310"/>
      <c r="C30" s="306" t="s">
        <v>394</v>
      </c>
      <c r="D30" s="310"/>
      <c r="E30" s="310"/>
      <c r="F30" s="310"/>
      <c r="G30" s="310"/>
      <c r="H30" s="318"/>
      <c r="I30" s="316"/>
      <c r="J30" s="420"/>
      <c r="K30" s="308"/>
      <c r="L30" s="312">
        <f>ROUND(I30/12*BeskGradNyLøn*(1+PctRegNyLøn%),2)</f>
        <v>0</v>
      </c>
      <c r="M30" s="313">
        <f t="shared" si="0"/>
        <v>0</v>
      </c>
      <c r="O30" s="633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5"/>
      <c r="AB30" s="367"/>
      <c r="AD30" s="367"/>
      <c r="AG30" s="367"/>
      <c r="AH30" s="367"/>
    </row>
    <row r="31" spans="1:34" ht="12.75" customHeight="1">
      <c r="A31" s="317"/>
      <c r="B31" s="310"/>
      <c r="C31" s="306" t="s">
        <v>394</v>
      </c>
      <c r="D31" s="310"/>
      <c r="E31" s="310"/>
      <c r="F31" s="310"/>
      <c r="G31" s="310"/>
      <c r="H31" s="318"/>
      <c r="I31" s="316"/>
      <c r="J31" s="420"/>
      <c r="K31" s="308"/>
      <c r="L31" s="312">
        <f>ROUND(I31/12*BeskGradNyLøn*(1+PctRegNyLøn%),2)</f>
        <v>0</v>
      </c>
      <c r="M31" s="313">
        <f t="shared" si="0"/>
        <v>0</v>
      </c>
      <c r="O31" s="633"/>
      <c r="P31" s="634"/>
      <c r="Q31" s="634"/>
      <c r="R31" s="634"/>
      <c r="S31" s="634"/>
      <c r="T31" s="634"/>
      <c r="U31" s="634"/>
      <c r="V31" s="634"/>
      <c r="W31" s="634"/>
      <c r="X31" s="634"/>
      <c r="Y31" s="634"/>
      <c r="Z31" s="635"/>
      <c r="AB31" s="367"/>
      <c r="AC31" s="468" t="e">
        <f>+VLOOKUP(U14,Vejledning!A:AP,22,1)</f>
        <v>#N/A</v>
      </c>
      <c r="AD31" s="367"/>
      <c r="AE31" s="469" t="e">
        <f>+VLOOKUP(U14,Vejledning!A:AV,23,1)</f>
        <v>#N/A</v>
      </c>
      <c r="AG31" s="367"/>
      <c r="AH31" s="367"/>
    </row>
    <row r="32" spans="1:34" ht="12.75" customHeight="1">
      <c r="A32" s="317"/>
      <c r="B32" s="310"/>
      <c r="C32" s="306" t="s">
        <v>394</v>
      </c>
      <c r="D32" s="310"/>
      <c r="E32" s="310"/>
      <c r="F32" s="310"/>
      <c r="G32" s="310"/>
      <c r="H32" s="318"/>
      <c r="I32" s="316"/>
      <c r="J32" s="420"/>
      <c r="K32" s="308"/>
      <c r="L32" s="312">
        <f>ROUND(I32/12*BeskGradNyLøn*(1+PctRegNyLøn%),2)</f>
        <v>0</v>
      </c>
      <c r="M32" s="313">
        <f t="shared" si="0"/>
        <v>0</v>
      </c>
      <c r="O32" s="633"/>
      <c r="P32" s="634"/>
      <c r="Q32" s="634"/>
      <c r="R32" s="634"/>
      <c r="S32" s="634"/>
      <c r="T32" s="634"/>
      <c r="U32" s="634"/>
      <c r="V32" s="634"/>
      <c r="W32" s="634"/>
      <c r="X32" s="634"/>
      <c r="Y32" s="634"/>
      <c r="Z32" s="635"/>
      <c r="AB32" s="367"/>
      <c r="AD32" s="367"/>
      <c r="AG32" s="367"/>
      <c r="AH32" s="367"/>
    </row>
    <row r="33" spans="1:34" ht="6" customHeight="1">
      <c r="A33" s="317"/>
      <c r="B33" s="310"/>
      <c r="C33" s="306"/>
      <c r="D33" s="306"/>
      <c r="E33" s="306"/>
      <c r="F33" s="306"/>
      <c r="G33" s="306"/>
      <c r="H33" s="306"/>
      <c r="I33" s="306"/>
      <c r="J33" s="331"/>
      <c r="K33" s="308"/>
      <c r="L33" s="306"/>
      <c r="M33" s="306"/>
      <c r="N33" s="306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B33" s="367"/>
      <c r="AD33" s="367"/>
      <c r="AG33" s="367"/>
      <c r="AH33" s="367"/>
    </row>
    <row r="34" spans="1:34" ht="12.75" customHeight="1">
      <c r="A34" s="317"/>
      <c r="B34" s="310"/>
      <c r="C34" s="306" t="s">
        <v>403</v>
      </c>
      <c r="D34" s="310"/>
      <c r="E34" s="310"/>
      <c r="F34" s="310"/>
      <c r="G34" s="310"/>
      <c r="H34" s="318"/>
      <c r="I34" s="316"/>
      <c r="J34" s="420"/>
      <c r="K34" s="308"/>
      <c r="L34" s="312">
        <f>ROUND(I34/12*BeskGradNyLøn*(1+PctRegNyLøn%),2)</f>
        <v>0</v>
      </c>
      <c r="M34" s="313">
        <f>L34*12</f>
        <v>0</v>
      </c>
      <c r="O34" s="633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5"/>
      <c r="AB34" s="367"/>
      <c r="AC34" s="468" t="e">
        <f>+VLOOKUP(U14,Vejledning!A:AP,24,1)</f>
        <v>#N/A</v>
      </c>
      <c r="AD34" s="367"/>
      <c r="AE34" s="468" t="e">
        <f>+VLOOKUP(U14,Vejledning!A:AV,25,1)</f>
        <v>#N/A</v>
      </c>
      <c r="AG34" s="367"/>
      <c r="AH34" s="367"/>
    </row>
    <row r="35" spans="1:34" ht="12.75" customHeight="1">
      <c r="A35" s="317"/>
      <c r="B35" s="310"/>
      <c r="C35" s="306" t="s">
        <v>392</v>
      </c>
      <c r="D35" s="310"/>
      <c r="E35" s="310"/>
      <c r="F35" s="310"/>
      <c r="G35" s="310"/>
      <c r="H35" s="318"/>
      <c r="I35" s="316"/>
      <c r="J35" s="420"/>
      <c r="K35" s="308"/>
      <c r="L35" s="312">
        <f>ROUND(I35/12*BeskGradNyLøn*(1+PctRegNyLøn%),2)</f>
        <v>0</v>
      </c>
      <c r="M35" s="313">
        <f>L35*12</f>
        <v>0</v>
      </c>
      <c r="O35" s="633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5"/>
      <c r="AB35" s="367"/>
      <c r="AD35" s="367"/>
      <c r="AG35" s="367"/>
      <c r="AH35" s="367"/>
    </row>
    <row r="36" spans="1:34" ht="6" customHeight="1">
      <c r="A36" s="317"/>
      <c r="B36" s="310"/>
      <c r="C36" s="330" t="s">
        <v>388</v>
      </c>
      <c r="D36" s="306"/>
      <c r="E36" s="306"/>
      <c r="F36" s="306"/>
      <c r="G36" s="306"/>
      <c r="H36" s="306"/>
      <c r="I36" s="306"/>
      <c r="J36" s="331"/>
      <c r="K36" s="308"/>
      <c r="L36" s="306"/>
      <c r="M36" s="306"/>
      <c r="N36" s="306"/>
      <c r="O36" s="704" t="s">
        <v>729</v>
      </c>
      <c r="P36" s="704"/>
      <c r="Q36" s="704"/>
      <c r="R36" s="704"/>
      <c r="S36" s="704"/>
      <c r="T36" s="704"/>
      <c r="U36" s="704"/>
      <c r="V36" s="704"/>
      <c r="W36" s="704"/>
      <c r="X36" s="704"/>
      <c r="Y36" s="704"/>
      <c r="Z36" s="704"/>
      <c r="AB36" s="367"/>
      <c r="AD36" s="367"/>
      <c r="AG36" s="367"/>
      <c r="AH36" s="367"/>
    </row>
    <row r="37" spans="1:34" ht="12.75" customHeight="1">
      <c r="A37" s="317"/>
      <c r="B37" s="327" t="s">
        <v>146</v>
      </c>
      <c r="C37" s="310"/>
      <c r="D37" s="310"/>
      <c r="E37" s="310"/>
      <c r="F37" s="310"/>
      <c r="G37" s="310"/>
      <c r="H37" s="310"/>
      <c r="I37" s="310"/>
      <c r="J37" s="308"/>
      <c r="K37" s="308"/>
      <c r="L37" s="310"/>
      <c r="M37" s="310"/>
      <c r="O37" s="705"/>
      <c r="P37" s="705"/>
      <c r="Q37" s="705"/>
      <c r="R37" s="705"/>
      <c r="S37" s="705"/>
      <c r="T37" s="705"/>
      <c r="U37" s="705"/>
      <c r="V37" s="705"/>
      <c r="W37" s="705"/>
      <c r="X37" s="705"/>
      <c r="Y37" s="705"/>
      <c r="Z37" s="705"/>
      <c r="AB37" s="367"/>
      <c r="AC37" s="468" t="e">
        <f>+VLOOKUP(U14,Vejledning!A:AP,26,1)</f>
        <v>#N/A</v>
      </c>
      <c r="AD37" s="367"/>
      <c r="AE37" s="468" t="e">
        <f>+VLOOKUP(U14,Vejledning!A:AV,27,1)</f>
        <v>#N/A</v>
      </c>
      <c r="AG37" s="367"/>
      <c r="AH37" s="367"/>
    </row>
    <row r="38" spans="1:34" ht="6" customHeight="1">
      <c r="A38" s="317"/>
      <c r="B38" s="310"/>
      <c r="C38" s="330" t="s">
        <v>388</v>
      </c>
      <c r="D38" s="306"/>
      <c r="E38" s="306"/>
      <c r="F38" s="306"/>
      <c r="G38" s="306"/>
      <c r="H38" s="306"/>
      <c r="I38" s="306"/>
      <c r="J38" s="331"/>
      <c r="K38" s="308"/>
      <c r="L38" s="306"/>
      <c r="M38" s="306"/>
      <c r="N38" s="306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B38" s="367"/>
      <c r="AD38" s="367"/>
      <c r="AG38" s="367"/>
      <c r="AH38" s="367"/>
    </row>
    <row r="39" spans="1:34" ht="12.75" customHeight="1">
      <c r="A39" s="317"/>
      <c r="B39" s="310"/>
      <c r="C39" s="306" t="s">
        <v>397</v>
      </c>
      <c r="D39" s="310"/>
      <c r="E39" s="310"/>
      <c r="F39" s="310"/>
      <c r="G39" s="310"/>
      <c r="H39" s="310"/>
      <c r="I39" s="418"/>
      <c r="J39" s="323"/>
      <c r="K39" s="308"/>
      <c r="L39" s="312">
        <f>ROUND((VLOOKUP($J$18+J23+J26+J27+J28+J39,TabelLøn,+L11,1)-VLOOKUP($J$18+J23+J26+J27+J28,TabelLøn,+L11,1))*BeskGradNyLøn,2)</f>
        <v>0</v>
      </c>
      <c r="M39" s="313">
        <f>L39*12</f>
        <v>0</v>
      </c>
      <c r="O39" s="633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5"/>
      <c r="AB39" s="367"/>
      <c r="AC39" s="468" t="e">
        <f>+VLOOKUP(U14,Vejledning!A:AP,28,1)</f>
        <v>#N/A</v>
      </c>
      <c r="AD39" s="367"/>
      <c r="AG39" s="367"/>
      <c r="AH39" s="367"/>
    </row>
    <row r="40" spans="1:34" ht="12.75" customHeight="1">
      <c r="A40" s="317"/>
      <c r="B40" s="310"/>
      <c r="C40" s="306" t="s">
        <v>397</v>
      </c>
      <c r="D40" s="310"/>
      <c r="E40" s="310"/>
      <c r="F40" s="310"/>
      <c r="G40" s="310"/>
      <c r="H40" s="310"/>
      <c r="I40" s="417"/>
      <c r="J40" s="323"/>
      <c r="K40" s="308"/>
      <c r="L40" s="312">
        <f>ROUND((VLOOKUP($J$18+J23+J26+J27+J28+J39+J40,TabelLøn,+L11,1)-VLOOKUP($J$18+J23+J26+J27+J28+J39,TabelLøn,+L11,1))*BeskGradNyLøn,2)</f>
        <v>0</v>
      </c>
      <c r="M40" s="313">
        <f t="shared" ref="M40:M50" si="1">L40*12</f>
        <v>0</v>
      </c>
      <c r="O40" s="633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5"/>
      <c r="AB40" s="367"/>
      <c r="AC40" s="468" t="e">
        <f>+VLOOKUP(U14,Vejledning!A:AP,30,1)</f>
        <v>#N/A</v>
      </c>
      <c r="AD40" s="367"/>
      <c r="AG40" s="367"/>
      <c r="AH40" s="367"/>
    </row>
    <row r="41" spans="1:34" ht="12.75" customHeight="1">
      <c r="A41" s="306"/>
      <c r="B41" s="310"/>
      <c r="C41" s="306" t="s">
        <v>398</v>
      </c>
      <c r="D41" s="310"/>
      <c r="E41" s="310"/>
      <c r="F41" s="310"/>
      <c r="G41" s="310"/>
      <c r="H41" s="318"/>
      <c r="I41" s="316"/>
      <c r="J41" s="421"/>
      <c r="K41" s="308"/>
      <c r="L41" s="312">
        <f>ROUND(I41/12*BeskGradNyLøn*(1+PctRegNyLøn%),2)</f>
        <v>0</v>
      </c>
      <c r="M41" s="313">
        <f t="shared" si="1"/>
        <v>0</v>
      </c>
      <c r="O41" s="633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5"/>
      <c r="AB41" s="367"/>
      <c r="AC41" s="468" t="e">
        <f>+VLOOKUP(U14,Vejledning!A:AP,30,1)</f>
        <v>#N/A</v>
      </c>
      <c r="AD41" s="367"/>
      <c r="AE41" s="468" t="e">
        <f>+VLOOKUP(U14,Vejledning!A:AV,31,1)</f>
        <v>#N/A</v>
      </c>
      <c r="AG41" s="367"/>
      <c r="AH41" s="367"/>
    </row>
    <row r="42" spans="1:34" ht="12.75" customHeight="1">
      <c r="A42" s="306"/>
      <c r="B42" s="310"/>
      <c r="C42" s="306" t="s">
        <v>398</v>
      </c>
      <c r="D42" s="310"/>
      <c r="E42" s="310"/>
      <c r="F42" s="310"/>
      <c r="G42" s="310"/>
      <c r="H42" s="318"/>
      <c r="I42" s="316"/>
      <c r="J42" s="422"/>
      <c r="K42" s="308"/>
      <c r="L42" s="312">
        <f>ROUND(I42/12*BeskGradNyLøn*(1+PctRegNyLøn%),2)</f>
        <v>0</v>
      </c>
      <c r="M42" s="313">
        <f t="shared" si="1"/>
        <v>0</v>
      </c>
      <c r="O42" s="633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5"/>
      <c r="AB42" s="367"/>
      <c r="AC42" s="468" t="e">
        <f>+VLOOKUP(U14,Vejledning!A:AP,32,1)</f>
        <v>#N/A</v>
      </c>
      <c r="AD42" s="367"/>
      <c r="AE42" s="468" t="e">
        <f>+VLOOKUP(U14,Vejledning!A:AV,33,1)</f>
        <v>#N/A</v>
      </c>
      <c r="AG42" s="367"/>
      <c r="AH42" s="367"/>
    </row>
    <row r="43" spans="1:34" ht="6" customHeight="1">
      <c r="A43" s="317"/>
      <c r="B43" s="310"/>
      <c r="C43" s="306"/>
      <c r="D43" s="306"/>
      <c r="E43" s="306"/>
      <c r="F43" s="306"/>
      <c r="G43" s="306"/>
      <c r="H43" s="306"/>
      <c r="I43" s="306"/>
      <c r="J43" s="331"/>
      <c r="K43" s="308"/>
      <c r="L43" s="306"/>
      <c r="M43" s="306"/>
      <c r="N43" s="306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B43" s="367"/>
      <c r="AD43" s="367"/>
      <c r="AG43" s="367"/>
      <c r="AH43" s="367"/>
    </row>
    <row r="44" spans="1:34" ht="12.75" customHeight="1">
      <c r="A44" s="317"/>
      <c r="B44" s="310"/>
      <c r="C44" s="306" t="s">
        <v>401</v>
      </c>
      <c r="D44" s="310"/>
      <c r="E44" s="310"/>
      <c r="F44" s="310"/>
      <c r="G44" s="310"/>
      <c r="H44" s="310"/>
      <c r="I44" s="418"/>
      <c r="J44" s="323"/>
      <c r="K44" s="308"/>
      <c r="L44" s="312">
        <f>ROUND((VLOOKUP($J$18+J23+J26+J27+J28+J39+J40+J44,TabelLøn,+L11,1)-VLOOKUP($J$18+J23+J26+J27+J28+J39+J40,TabelLøn,+L11,1))*BeskGradNyLøn,2)</f>
        <v>0</v>
      </c>
      <c r="M44" s="313">
        <f>L44*12</f>
        <v>0</v>
      </c>
      <c r="O44" s="633"/>
      <c r="P44" s="634"/>
      <c r="Q44" s="634"/>
      <c r="R44" s="634"/>
      <c r="S44" s="634"/>
      <c r="T44" s="634"/>
      <c r="U44" s="634"/>
      <c r="V44" s="634"/>
      <c r="W44" s="634"/>
      <c r="X44" s="634"/>
      <c r="Y44" s="634"/>
      <c r="Z44" s="635"/>
      <c r="AB44" s="367"/>
      <c r="AD44" s="367"/>
      <c r="AG44" s="367"/>
      <c r="AH44" s="367"/>
    </row>
    <row r="45" spans="1:34" ht="12.75" customHeight="1">
      <c r="A45" s="317"/>
      <c r="B45" s="310"/>
      <c r="C45" s="306" t="s">
        <v>401</v>
      </c>
      <c r="D45" s="310"/>
      <c r="E45" s="310"/>
      <c r="F45" s="310"/>
      <c r="G45" s="310"/>
      <c r="H45" s="310"/>
      <c r="I45" s="418"/>
      <c r="J45" s="323"/>
      <c r="K45" s="308"/>
      <c r="L45" s="312">
        <f>ROUND((VLOOKUP($J$18+J23+J26+J27+J28+J39+J40+J44+J45,TabelLøn,+L11,1)-VLOOKUP($J$18+J23+J26+J27+J28+J39+J40+J44,TabelLøn,+L11,1))*BeskGradNyLøn,2)</f>
        <v>0</v>
      </c>
      <c r="M45" s="313">
        <f>L45*12</f>
        <v>0</v>
      </c>
      <c r="O45" s="633"/>
      <c r="P45" s="634"/>
      <c r="Q45" s="634"/>
      <c r="R45" s="634"/>
      <c r="S45" s="634"/>
      <c r="T45" s="634"/>
      <c r="U45" s="634"/>
      <c r="V45" s="634"/>
      <c r="W45" s="634"/>
      <c r="X45" s="634"/>
      <c r="Y45" s="634"/>
      <c r="Z45" s="635"/>
      <c r="AB45" s="367"/>
      <c r="AC45" s="468" t="e">
        <f>+VLOOKUP(U14,Vejledning!A:AP,34,1)</f>
        <v>#N/A</v>
      </c>
      <c r="AD45" s="367"/>
      <c r="AE45" s="468" t="e">
        <f>+VLOOKUP(U14,Vejledning!A:AV,35,1)</f>
        <v>#N/A</v>
      </c>
      <c r="AG45" s="367"/>
      <c r="AH45" s="367"/>
    </row>
    <row r="46" spans="1:34" ht="12.75" customHeight="1">
      <c r="A46" s="317"/>
      <c r="B46" s="310"/>
      <c r="C46" s="306" t="s">
        <v>401</v>
      </c>
      <c r="D46" s="310"/>
      <c r="E46" s="310"/>
      <c r="F46" s="310"/>
      <c r="G46" s="310"/>
      <c r="H46" s="310"/>
      <c r="I46" s="418"/>
      <c r="J46" s="323"/>
      <c r="K46" s="308"/>
      <c r="L46" s="312">
        <f>ROUND((VLOOKUP($J$18+J23+J26+J27+J28+J39+J40+J44+J45+J46,TabelLøn,+L11,1)-VLOOKUP($J$18+J23+J26+J27+J28+J39+J40+J44+J45,TabelLøn,+L11,1))*BeskGradNyLøn,2)</f>
        <v>0</v>
      </c>
      <c r="M46" s="313">
        <f>L46*12</f>
        <v>0</v>
      </c>
      <c r="O46" s="633"/>
      <c r="P46" s="634"/>
      <c r="Q46" s="634"/>
      <c r="R46" s="634"/>
      <c r="S46" s="634"/>
      <c r="T46" s="634"/>
      <c r="U46" s="634"/>
      <c r="V46" s="634"/>
      <c r="W46" s="634"/>
      <c r="X46" s="634"/>
      <c r="Y46" s="634"/>
      <c r="Z46" s="635"/>
      <c r="AB46" s="367"/>
      <c r="AD46" s="367"/>
      <c r="AG46" s="367"/>
      <c r="AH46" s="367"/>
    </row>
    <row r="47" spans="1:34" ht="12.75" customHeight="1">
      <c r="A47" s="317"/>
      <c r="B47" s="310"/>
      <c r="C47" s="306" t="s">
        <v>401</v>
      </c>
      <c r="D47" s="310"/>
      <c r="E47" s="310"/>
      <c r="F47" s="310"/>
      <c r="G47" s="310"/>
      <c r="H47" s="310"/>
      <c r="I47" s="417"/>
      <c r="J47" s="323"/>
      <c r="K47" s="308"/>
      <c r="L47" s="312">
        <f>ROUND((VLOOKUP($J$18+J23+J26+J27+J28+J39+J40+J44+J45+J46+J47,TabelLøn,+L11,1)-VLOOKUP($J$18+J23+J26+J27+J28+J39+J40+J44+J45+J46,TabelLøn,+L11,1))*BeskGradNyLøn,2)</f>
        <v>0</v>
      </c>
      <c r="M47" s="313">
        <f t="shared" si="1"/>
        <v>0</v>
      </c>
      <c r="O47" s="633"/>
      <c r="P47" s="634"/>
      <c r="Q47" s="634"/>
      <c r="R47" s="634"/>
      <c r="S47" s="634"/>
      <c r="T47" s="634"/>
      <c r="U47" s="634"/>
      <c r="V47" s="634"/>
      <c r="W47" s="634"/>
      <c r="X47" s="634"/>
      <c r="Y47" s="634"/>
      <c r="Z47" s="635"/>
      <c r="AB47" s="367"/>
      <c r="AC47" s="468" t="e">
        <f>+VLOOKUP(U14,Vejledning!A:AP,36,1)</f>
        <v>#N/A</v>
      </c>
      <c r="AD47" s="367"/>
      <c r="AE47" s="468" t="e">
        <f>+VLOOKUP(U14,Vejledning!A:AV,37,1)</f>
        <v>#N/A</v>
      </c>
      <c r="AG47" s="367"/>
      <c r="AH47" s="367"/>
    </row>
    <row r="48" spans="1:34" ht="12.75" customHeight="1">
      <c r="A48" s="317"/>
      <c r="B48" s="310"/>
      <c r="C48" s="306" t="s">
        <v>402</v>
      </c>
      <c r="D48" s="310"/>
      <c r="E48" s="310"/>
      <c r="F48" s="310"/>
      <c r="G48" s="310"/>
      <c r="H48" s="318"/>
      <c r="I48" s="316"/>
      <c r="J48" s="421"/>
      <c r="K48" s="308"/>
      <c r="L48" s="312">
        <f>ROUND(I48/12*BeskGradNyLøn*(1+PctRegNyLøn%),2)</f>
        <v>0</v>
      </c>
      <c r="M48" s="313">
        <f>L48*12</f>
        <v>0</v>
      </c>
      <c r="O48" s="633"/>
      <c r="P48" s="634"/>
      <c r="Q48" s="634"/>
      <c r="R48" s="634"/>
      <c r="S48" s="634"/>
      <c r="T48" s="634"/>
      <c r="U48" s="634"/>
      <c r="V48" s="634"/>
      <c r="W48" s="634"/>
      <c r="X48" s="634"/>
      <c r="Y48" s="634"/>
      <c r="Z48" s="635"/>
      <c r="AB48" s="367"/>
      <c r="AD48" s="367"/>
      <c r="AG48" s="367"/>
      <c r="AH48" s="367"/>
    </row>
    <row r="49" spans="1:34" ht="12.75" customHeight="1">
      <c r="A49" s="317"/>
      <c r="B49" s="310"/>
      <c r="C49" s="306" t="s">
        <v>402</v>
      </c>
      <c r="D49" s="310"/>
      <c r="E49" s="310"/>
      <c r="F49" s="310"/>
      <c r="G49" s="310"/>
      <c r="H49" s="318"/>
      <c r="I49" s="316"/>
      <c r="J49" s="422"/>
      <c r="K49" s="308"/>
      <c r="L49" s="312">
        <f>ROUND(I49/12*BeskGradNyLøn*(1+PctRegNyLøn%),2)</f>
        <v>0</v>
      </c>
      <c r="M49" s="313">
        <f>L49*12</f>
        <v>0</v>
      </c>
      <c r="O49" s="633"/>
      <c r="P49" s="634"/>
      <c r="Q49" s="634"/>
      <c r="R49" s="634"/>
      <c r="S49" s="634"/>
      <c r="T49" s="634"/>
      <c r="U49" s="634"/>
      <c r="V49" s="634"/>
      <c r="W49" s="634"/>
      <c r="X49" s="634"/>
      <c r="Y49" s="634"/>
      <c r="Z49" s="635"/>
      <c r="AB49" s="367"/>
      <c r="AD49" s="367"/>
      <c r="AG49" s="367"/>
      <c r="AH49" s="367"/>
    </row>
    <row r="50" spans="1:34" ht="12.75" customHeight="1">
      <c r="A50" s="317"/>
      <c r="B50" s="310"/>
      <c r="C50" s="306" t="s">
        <v>402</v>
      </c>
      <c r="D50" s="310"/>
      <c r="E50" s="310"/>
      <c r="F50" s="310"/>
      <c r="G50" s="310"/>
      <c r="H50" s="318"/>
      <c r="I50" s="316"/>
      <c r="J50" s="422"/>
      <c r="K50" s="308"/>
      <c r="L50" s="312">
        <f>ROUND(I50/12*BeskGradNyLøn*(1+PctRegNyLøn%),2)</f>
        <v>0</v>
      </c>
      <c r="M50" s="313">
        <f t="shared" si="1"/>
        <v>0</v>
      </c>
      <c r="O50" s="633"/>
      <c r="P50" s="634"/>
      <c r="Q50" s="634"/>
      <c r="R50" s="634"/>
      <c r="S50" s="634"/>
      <c r="T50" s="634"/>
      <c r="U50" s="634"/>
      <c r="V50" s="634"/>
      <c r="W50" s="634"/>
      <c r="X50" s="634"/>
      <c r="Y50" s="634"/>
      <c r="Z50" s="635"/>
      <c r="AB50" s="367"/>
      <c r="AC50" s="468" t="e">
        <f>+VLOOKUP(U14,Vejledning!A:AP,40,1)</f>
        <v>#N/A</v>
      </c>
      <c r="AD50" s="367"/>
      <c r="AE50" s="468" t="e">
        <f>+VLOOKUP(U14,Vejledning!A:AV,41,1)</f>
        <v>#N/A</v>
      </c>
      <c r="AG50" s="367"/>
      <c r="AH50" s="367"/>
    </row>
    <row r="51" spans="1:34" ht="6" customHeight="1">
      <c r="A51" s="317"/>
      <c r="B51" s="310"/>
      <c r="C51" s="306"/>
      <c r="D51" s="306"/>
      <c r="E51" s="306"/>
      <c r="F51" s="306"/>
      <c r="G51" s="306"/>
      <c r="H51" s="306"/>
      <c r="I51" s="306"/>
      <c r="J51" s="331"/>
      <c r="K51" s="308"/>
      <c r="L51" s="306"/>
      <c r="M51" s="306"/>
      <c r="N51" s="306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B51" s="367"/>
      <c r="AD51" s="367"/>
      <c r="AG51" s="367"/>
      <c r="AH51" s="367"/>
    </row>
    <row r="52" spans="1:34" ht="12.75" customHeight="1">
      <c r="A52" s="317"/>
      <c r="B52" s="314" t="s">
        <v>411</v>
      </c>
      <c r="C52" s="320"/>
      <c r="D52" s="320"/>
      <c r="E52" s="320"/>
      <c r="F52" s="320"/>
      <c r="G52" s="320"/>
      <c r="H52" s="321"/>
      <c r="I52" s="360">
        <f>SUM(I18:I51)</f>
        <v>0</v>
      </c>
      <c r="J52" s="361">
        <f>SUM(J18:J51)</f>
        <v>0</v>
      </c>
      <c r="K52" s="425"/>
      <c r="L52" s="345">
        <f>SUM(L18:L51)</f>
        <v>0</v>
      </c>
      <c r="M52" s="313">
        <f>SUM(M18:M51)</f>
        <v>0</v>
      </c>
      <c r="Q52" s="319"/>
      <c r="R52" s="319"/>
      <c r="AB52" s="367"/>
      <c r="AC52" s="476"/>
      <c r="AD52" s="367"/>
      <c r="AE52" s="680"/>
      <c r="AF52" s="680"/>
      <c r="AG52" s="367"/>
      <c r="AH52" s="367"/>
    </row>
    <row r="53" spans="1:34" ht="6" customHeight="1">
      <c r="A53" s="317"/>
      <c r="B53" s="310"/>
      <c r="C53" s="306"/>
      <c r="D53" s="306"/>
      <c r="E53" s="306"/>
      <c r="F53" s="306"/>
      <c r="G53" s="306"/>
      <c r="H53" s="306"/>
      <c r="I53" s="306"/>
      <c r="J53" s="331"/>
      <c r="K53" s="331"/>
      <c r="L53" s="306"/>
      <c r="M53" s="306"/>
      <c r="N53" s="306"/>
      <c r="O53" s="335"/>
      <c r="P53" s="335"/>
      <c r="Q53" s="319"/>
      <c r="R53" s="319"/>
      <c r="S53" s="335"/>
      <c r="T53" s="335"/>
      <c r="U53" s="335"/>
      <c r="V53" s="335"/>
      <c r="W53" s="335"/>
      <c r="X53" s="335"/>
      <c r="Y53" s="335"/>
      <c r="Z53" s="335"/>
      <c r="AB53" s="367"/>
      <c r="AD53" s="367"/>
      <c r="AE53" s="680"/>
      <c r="AF53" s="680"/>
      <c r="AG53" s="367"/>
      <c r="AH53" s="367"/>
    </row>
    <row r="54" spans="1:34" ht="12.75" customHeight="1">
      <c r="A54" s="317"/>
      <c r="B54" s="328" t="s">
        <v>412</v>
      </c>
      <c r="C54" s="328" t="s">
        <v>22</v>
      </c>
      <c r="D54" s="310"/>
      <c r="E54" s="310"/>
      <c r="F54" s="310"/>
      <c r="G54" s="310"/>
      <c r="H54" s="310"/>
      <c r="I54" s="343"/>
      <c r="J54" s="331"/>
      <c r="K54" s="332"/>
      <c r="L54" s="312">
        <f>ROUND(VLOOKUP(J52,TabelLønninger,+M11,2)*I12/100/12*BeskGradNyLøn,2)+(I12/100*(L19+L24+L29+L30+L31+L32+L41+L42+L48+L49+L50))</f>
        <v>0</v>
      </c>
      <c r="M54" s="313">
        <f>L54*12</f>
        <v>0</v>
      </c>
      <c r="Q54" s="319"/>
      <c r="R54" s="319"/>
      <c r="AB54" s="367"/>
      <c r="AD54" s="367"/>
      <c r="AG54" s="367"/>
      <c r="AH54" s="367"/>
    </row>
    <row r="55" spans="1:34" ht="12.75" customHeight="1">
      <c r="A55" s="317"/>
      <c r="B55" s="314" t="s">
        <v>407</v>
      </c>
      <c r="C55" s="328"/>
      <c r="D55" s="320"/>
      <c r="E55" s="320"/>
      <c r="F55" s="320"/>
      <c r="G55" s="320"/>
      <c r="H55" s="320"/>
      <c r="I55" s="343"/>
      <c r="J55" s="362"/>
      <c r="K55" s="344"/>
      <c r="L55" s="345">
        <f>SUM(L52:L54)</f>
        <v>0</v>
      </c>
      <c r="M55" s="346">
        <f>SUM(M52:M54)</f>
        <v>0</v>
      </c>
      <c r="Q55" s="322"/>
      <c r="R55" s="322"/>
      <c r="AB55" s="367"/>
      <c r="AD55" s="367"/>
      <c r="AE55" s="473"/>
      <c r="AF55" s="473"/>
      <c r="AG55" s="367"/>
      <c r="AH55" s="367"/>
    </row>
    <row r="56" spans="1:34" ht="8.25" customHeight="1">
      <c r="A56" s="317"/>
      <c r="B56" s="314"/>
      <c r="C56" s="328"/>
      <c r="D56" s="320"/>
      <c r="E56" s="320"/>
      <c r="F56" s="320"/>
      <c r="G56" s="320"/>
      <c r="H56" s="320"/>
      <c r="I56" s="343"/>
      <c r="J56" s="362"/>
      <c r="K56" s="362"/>
      <c r="L56" s="363"/>
      <c r="M56" s="363"/>
      <c r="Q56" s="322"/>
      <c r="R56" s="322"/>
      <c r="AB56" s="367"/>
      <c r="AC56" s="703"/>
      <c r="AD56" s="703"/>
      <c r="AE56" s="703"/>
      <c r="AF56" s="703"/>
      <c r="AG56" s="367"/>
      <c r="AH56" s="367"/>
    </row>
    <row r="57" spans="1:34" ht="12" customHeight="1">
      <c r="A57" s="317"/>
      <c r="B57" s="663"/>
      <c r="C57" s="664"/>
      <c r="D57" s="664"/>
      <c r="E57" s="664"/>
      <c r="F57" s="664"/>
      <c r="G57" s="664"/>
      <c r="H57" s="664"/>
      <c r="I57" s="664"/>
      <c r="J57" s="664"/>
      <c r="K57" s="664"/>
      <c r="L57" s="664"/>
      <c r="M57" s="664"/>
      <c r="N57" s="664"/>
      <c r="O57" s="664"/>
      <c r="P57" s="664"/>
      <c r="Q57" s="664"/>
      <c r="R57" s="664"/>
      <c r="S57" s="664"/>
      <c r="T57" s="664"/>
      <c r="U57" s="664"/>
      <c r="V57" s="664"/>
      <c r="W57" s="664"/>
      <c r="X57" s="664"/>
      <c r="Y57" s="664"/>
      <c r="Z57" s="665"/>
      <c r="AB57" s="367"/>
      <c r="AC57" s="703"/>
      <c r="AD57" s="703"/>
      <c r="AE57" s="703"/>
      <c r="AF57" s="703"/>
      <c r="AG57" s="367"/>
      <c r="AH57" s="367"/>
    </row>
    <row r="58" spans="1:34" ht="12" customHeight="1">
      <c r="A58" s="317"/>
      <c r="B58" s="666"/>
      <c r="C58" s="667"/>
      <c r="D58" s="667"/>
      <c r="E58" s="667"/>
      <c r="F58" s="667"/>
      <c r="G58" s="667"/>
      <c r="H58" s="667"/>
      <c r="I58" s="667"/>
      <c r="J58" s="667"/>
      <c r="K58" s="667"/>
      <c r="L58" s="667"/>
      <c r="M58" s="667"/>
      <c r="N58" s="667"/>
      <c r="O58" s="667"/>
      <c r="P58" s="667"/>
      <c r="Q58" s="667"/>
      <c r="R58" s="667"/>
      <c r="S58" s="667"/>
      <c r="T58" s="667"/>
      <c r="U58" s="667"/>
      <c r="V58" s="667"/>
      <c r="W58" s="667"/>
      <c r="X58" s="667"/>
      <c r="Y58" s="667"/>
      <c r="Z58" s="668"/>
      <c r="AB58" s="367"/>
      <c r="AC58" s="470"/>
      <c r="AD58" s="470"/>
      <c r="AE58" s="474"/>
      <c r="AF58" s="474"/>
      <c r="AG58" s="367"/>
      <c r="AH58" s="367"/>
    </row>
    <row r="59" spans="1:34" ht="12" customHeight="1">
      <c r="A59" s="317"/>
      <c r="B59" s="666"/>
      <c r="C59" s="667"/>
      <c r="D59" s="667"/>
      <c r="E59" s="667"/>
      <c r="F59" s="667"/>
      <c r="G59" s="667"/>
      <c r="H59" s="667"/>
      <c r="I59" s="667"/>
      <c r="J59" s="667"/>
      <c r="K59" s="667"/>
      <c r="L59" s="667"/>
      <c r="M59" s="667"/>
      <c r="N59" s="667"/>
      <c r="O59" s="667"/>
      <c r="P59" s="667"/>
      <c r="Q59" s="667"/>
      <c r="R59" s="667"/>
      <c r="S59" s="667"/>
      <c r="T59" s="667"/>
      <c r="U59" s="667"/>
      <c r="V59" s="667"/>
      <c r="W59" s="667"/>
      <c r="X59" s="667"/>
      <c r="Y59" s="667"/>
      <c r="Z59" s="668"/>
      <c r="AB59" s="367"/>
      <c r="AC59" s="470"/>
      <c r="AD59" s="470"/>
      <c r="AE59" s="474"/>
      <c r="AF59" s="474"/>
      <c r="AG59" s="367"/>
      <c r="AH59" s="367"/>
    </row>
    <row r="60" spans="1:34" ht="12" customHeight="1">
      <c r="A60" s="317"/>
      <c r="B60" s="669"/>
      <c r="C60" s="670"/>
      <c r="D60" s="670"/>
      <c r="E60" s="670"/>
      <c r="F60" s="670"/>
      <c r="G60" s="670"/>
      <c r="H60" s="670"/>
      <c r="I60" s="670"/>
      <c r="J60" s="670"/>
      <c r="K60" s="670"/>
      <c r="L60" s="670"/>
      <c r="M60" s="670"/>
      <c r="N60" s="670"/>
      <c r="O60" s="670"/>
      <c r="P60" s="670"/>
      <c r="Q60" s="670"/>
      <c r="R60" s="670"/>
      <c r="S60" s="670"/>
      <c r="T60" s="670"/>
      <c r="U60" s="670"/>
      <c r="V60" s="670"/>
      <c r="W60" s="670"/>
      <c r="X60" s="670"/>
      <c r="Y60" s="670"/>
      <c r="Z60" s="671"/>
      <c r="AB60" s="367"/>
      <c r="AC60" s="470"/>
      <c r="AD60" s="470"/>
      <c r="AE60" s="474"/>
      <c r="AF60" s="474"/>
      <c r="AG60" s="367"/>
      <c r="AH60" s="367"/>
    </row>
    <row r="61" spans="1:34" ht="12.75" customHeight="1">
      <c r="C61" s="364" t="s">
        <v>450</v>
      </c>
      <c r="AB61" s="367"/>
      <c r="AC61" s="470"/>
      <c r="AD61" s="470"/>
      <c r="AE61" s="474"/>
      <c r="AF61" s="474"/>
      <c r="AG61" s="367"/>
      <c r="AH61" s="367"/>
    </row>
    <row r="62" spans="1:34" ht="3.75" customHeight="1">
      <c r="AB62" s="367"/>
      <c r="AC62" s="471"/>
      <c r="AD62" s="471"/>
      <c r="AE62" s="474"/>
      <c r="AF62" s="474"/>
      <c r="AG62" s="367"/>
      <c r="AH62" s="367"/>
    </row>
    <row r="63" spans="1:34" s="353" customFormat="1" ht="12.75" customHeight="1">
      <c r="B63" s="645" t="s">
        <v>9</v>
      </c>
      <c r="C63" s="646"/>
      <c r="D63" s="646"/>
      <c r="E63" s="647"/>
      <c r="F63" s="647"/>
      <c r="G63" s="647"/>
      <c r="H63" s="647"/>
      <c r="I63" s="648"/>
      <c r="J63" s="574" t="s">
        <v>9</v>
      </c>
      <c r="K63" s="575"/>
      <c r="L63" s="647"/>
      <c r="M63" s="647"/>
      <c r="N63" s="648"/>
      <c r="O63" s="645" t="s">
        <v>9</v>
      </c>
      <c r="P63" s="646"/>
      <c r="Q63" s="573"/>
      <c r="R63" s="647"/>
      <c r="S63" s="647"/>
      <c r="T63" s="647"/>
      <c r="U63" s="647"/>
      <c r="V63" s="647"/>
      <c r="W63" s="647"/>
      <c r="X63" s="647"/>
      <c r="Y63" s="647"/>
      <c r="Z63" s="648"/>
      <c r="AB63" s="369"/>
      <c r="AC63" s="681" t="s">
        <v>723</v>
      </c>
      <c r="AD63" s="681"/>
      <c r="AE63" s="681"/>
      <c r="AF63" s="681"/>
      <c r="AG63" s="369"/>
      <c r="AH63" s="369"/>
    </row>
    <row r="64" spans="1:34" ht="21" customHeight="1">
      <c r="B64" s="649"/>
      <c r="C64" s="650"/>
      <c r="D64" s="650"/>
      <c r="E64" s="650"/>
      <c r="F64" s="650"/>
      <c r="G64" s="650"/>
      <c r="H64" s="650"/>
      <c r="I64" s="651"/>
      <c r="J64" s="649"/>
      <c r="K64" s="650"/>
      <c r="L64" s="650"/>
      <c r="M64" s="650"/>
      <c r="N64" s="651"/>
      <c r="O64" s="649"/>
      <c r="P64" s="650"/>
      <c r="Q64" s="650"/>
      <c r="R64" s="650"/>
      <c r="S64" s="650"/>
      <c r="T64" s="650"/>
      <c r="U64" s="650"/>
      <c r="V64" s="650"/>
      <c r="W64" s="650"/>
      <c r="X64" s="650"/>
      <c r="Y64" s="650"/>
      <c r="Z64" s="651"/>
      <c r="AB64" s="367"/>
      <c r="AC64" s="681" t="s">
        <v>722</v>
      </c>
      <c r="AD64" s="681"/>
      <c r="AE64" s="681"/>
      <c r="AF64" s="681"/>
      <c r="AG64" s="367"/>
      <c r="AH64" s="367"/>
    </row>
    <row r="65" spans="1:37" ht="23.25" customHeight="1">
      <c r="B65" s="644" t="s">
        <v>767</v>
      </c>
      <c r="C65" s="644"/>
      <c r="D65" s="644"/>
      <c r="E65" s="644"/>
      <c r="F65" s="644"/>
      <c r="G65" s="644"/>
      <c r="H65" s="644"/>
      <c r="I65" s="644"/>
      <c r="J65" s="572" t="s">
        <v>768</v>
      </c>
      <c r="K65" s="572"/>
      <c r="L65" s="571"/>
      <c r="M65" s="571"/>
      <c r="N65" s="571"/>
      <c r="O65" s="572" t="s">
        <v>766</v>
      </c>
      <c r="P65" s="571"/>
      <c r="Q65" s="571"/>
      <c r="R65" s="571"/>
      <c r="S65" s="571"/>
      <c r="T65" s="571"/>
      <c r="U65" s="571"/>
      <c r="V65" s="571"/>
      <c r="W65" s="571"/>
      <c r="X65" s="571"/>
      <c r="Y65" s="571"/>
      <c r="Z65" s="571"/>
      <c r="AB65" s="367"/>
      <c r="AC65" s="708" t="s">
        <v>721</v>
      </c>
      <c r="AD65" s="708"/>
      <c r="AE65" s="708"/>
      <c r="AF65" s="708"/>
      <c r="AG65" s="367"/>
      <c r="AH65" s="367"/>
    </row>
    <row r="67" spans="1:37" ht="12.75" customHeight="1">
      <c r="A67" s="303"/>
      <c r="B67" s="303"/>
      <c r="L67" s="305"/>
      <c r="M67" s="305"/>
      <c r="O67" s="687" t="s">
        <v>10</v>
      </c>
      <c r="P67" s="687"/>
      <c r="Q67" s="687"/>
      <c r="R67" s="687"/>
      <c r="S67" s="687"/>
      <c r="T67" s="687"/>
      <c r="U67" s="687"/>
      <c r="V67" s="687"/>
      <c r="W67" s="687"/>
      <c r="X67" s="687"/>
      <c r="Y67" s="687"/>
      <c r="Z67" s="687"/>
      <c r="AA67" s="371"/>
      <c r="AB67" s="371"/>
      <c r="AC67" s="466"/>
      <c r="AD67" s="371"/>
      <c r="AE67" s="472"/>
      <c r="AF67" s="472"/>
      <c r="AG67" s="371"/>
      <c r="AH67" s="371"/>
      <c r="AI67" s="371"/>
      <c r="AJ67" s="371"/>
      <c r="AK67" s="371"/>
    </row>
    <row r="68" spans="1:37" ht="19.5" customHeight="1">
      <c r="A68" s="365"/>
      <c r="B68" s="493" t="s">
        <v>446</v>
      </c>
      <c r="C68" s="493"/>
      <c r="D68" s="493"/>
      <c r="E68" s="493"/>
      <c r="F68" s="493"/>
      <c r="G68" s="493"/>
      <c r="H68" s="493"/>
      <c r="I68" s="493"/>
      <c r="J68" s="493"/>
      <c r="K68" s="493"/>
      <c r="L68" s="493"/>
      <c r="M68" s="493"/>
      <c r="N68" s="493"/>
      <c r="O68" s="687"/>
      <c r="P68" s="687"/>
      <c r="Q68" s="687"/>
      <c r="R68" s="687"/>
      <c r="S68" s="687"/>
      <c r="T68" s="687"/>
      <c r="U68" s="687"/>
      <c r="V68" s="687"/>
      <c r="W68" s="687"/>
      <c r="X68" s="687"/>
      <c r="Y68" s="687"/>
      <c r="Z68" s="687"/>
      <c r="AB68" s="367"/>
      <c r="AD68" s="367"/>
      <c r="AE68" s="473"/>
      <c r="AF68" s="473"/>
      <c r="AG68" s="367"/>
      <c r="AH68" s="367"/>
    </row>
    <row r="69" spans="1:37" ht="13.5" customHeight="1">
      <c r="A69" s="652"/>
      <c r="B69" s="652"/>
      <c r="C69" s="652"/>
      <c r="D69" s="652"/>
      <c r="E69" s="652"/>
      <c r="F69" s="652"/>
      <c r="G69" s="652"/>
      <c r="H69" s="652"/>
      <c r="I69" s="652"/>
      <c r="J69" s="652"/>
      <c r="K69" s="652"/>
      <c r="L69" s="652"/>
      <c r="M69" s="652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B69" s="367"/>
      <c r="AD69" s="367"/>
      <c r="AE69" s="473"/>
      <c r="AF69" s="473"/>
      <c r="AG69" s="367"/>
      <c r="AH69" s="367"/>
    </row>
    <row r="70" spans="1:37" ht="12.75" customHeight="1">
      <c r="A70" s="317"/>
      <c r="B70" s="358" t="s">
        <v>66</v>
      </c>
      <c r="C70" s="310" t="s">
        <v>447</v>
      </c>
      <c r="D70" s="310"/>
      <c r="E70" s="310"/>
      <c r="F70" s="310"/>
      <c r="G70" s="310"/>
      <c r="H70" s="318"/>
      <c r="I70" s="633"/>
      <c r="J70" s="634"/>
      <c r="K70" s="634"/>
      <c r="L70" s="634"/>
      <c r="M70" s="635"/>
      <c r="O70" s="306"/>
      <c r="P70" s="375"/>
      <c r="Q70" s="375"/>
      <c r="R70" s="375"/>
      <c r="S70" s="375"/>
      <c r="T70" s="375"/>
      <c r="U70" s="375"/>
      <c r="V70" s="375"/>
      <c r="W70" s="375"/>
      <c r="X70" s="375"/>
      <c r="Y70" s="375"/>
      <c r="Z70" s="331"/>
      <c r="AB70" s="367"/>
      <c r="AD70" s="367"/>
      <c r="AE70" s="473"/>
      <c r="AF70" s="473"/>
      <c r="AG70" s="367"/>
      <c r="AH70" s="367"/>
    </row>
    <row r="71" spans="1:37" ht="12.75" customHeight="1">
      <c r="A71" s="317"/>
      <c r="B71" s="358" t="s">
        <v>90</v>
      </c>
      <c r="C71" s="310"/>
      <c r="D71" s="310"/>
      <c r="E71" s="310"/>
      <c r="F71" s="310"/>
      <c r="G71" s="310"/>
      <c r="H71" s="318"/>
      <c r="I71" s="324">
        <v>37</v>
      </c>
      <c r="J71" s="354"/>
      <c r="K71" s="423"/>
      <c r="L71" s="412" t="s">
        <v>410</v>
      </c>
      <c r="M71" s="356">
        <v>37</v>
      </c>
      <c r="N71" s="355">
        <f>I71/MAX(M71,1)</f>
        <v>1</v>
      </c>
      <c r="O71" s="306"/>
      <c r="P71" s="375"/>
      <c r="Q71" s="393"/>
      <c r="R71" s="393"/>
      <c r="S71" s="394"/>
      <c r="T71" s="394"/>
      <c r="U71" s="394"/>
      <c r="V71" s="394"/>
      <c r="W71" s="394"/>
      <c r="X71" s="394"/>
      <c r="Y71" s="394"/>
      <c r="Z71" s="394"/>
      <c r="AB71" s="367"/>
      <c r="AD71" s="367"/>
      <c r="AE71" s="473"/>
      <c r="AF71" s="473"/>
      <c r="AG71" s="367"/>
      <c r="AH71" s="367"/>
    </row>
    <row r="72" spans="1:37" ht="12.75" customHeight="1">
      <c r="A72" s="317"/>
      <c r="B72" s="359"/>
      <c r="C72" s="314"/>
      <c r="D72" s="314"/>
      <c r="E72" s="314"/>
      <c r="F72" s="314"/>
      <c r="G72" s="314"/>
      <c r="H72" s="314"/>
      <c r="I72" s="416">
        <f>+IF(+U75=7101,4,+IF(+U75=7001,3,+IF(+U75=3101,1,0)))</f>
        <v>0</v>
      </c>
      <c r="J72" s="335"/>
      <c r="K72" s="335"/>
      <c r="L72" s="486">
        <f>+IF(+I72=0,4,+(IF(+I72=1,7,+IF(+I72=3,14,+IF(+I72=4,18,4)))))</f>
        <v>4</v>
      </c>
      <c r="M72" s="487">
        <f>+IF(+I72=0,2,+(IF(+I72=1,6,+IF(+I72=3,12,+IF(+I72=4,16,2)))))</f>
        <v>2</v>
      </c>
      <c r="N72" s="488"/>
      <c r="O72" s="306"/>
      <c r="P72" s="375"/>
      <c r="Q72" s="392"/>
      <c r="R72" s="393"/>
      <c r="S72" s="350"/>
      <c r="T72" s="350"/>
      <c r="U72" s="350"/>
      <c r="V72" s="350"/>
      <c r="W72" s="350"/>
      <c r="X72" s="350"/>
      <c r="Y72" s="350"/>
      <c r="Z72" s="350"/>
      <c r="AA72" s="325"/>
      <c r="AB72" s="370"/>
      <c r="AC72" s="467"/>
      <c r="AD72" s="370"/>
      <c r="AE72" s="368"/>
      <c r="AF72" s="368"/>
      <c r="AG72" s="370"/>
      <c r="AH72" s="370"/>
    </row>
    <row r="73" spans="1:37" ht="12.75" customHeight="1">
      <c r="A73" s="317"/>
      <c r="B73" s="359" t="s">
        <v>270</v>
      </c>
      <c r="C73" s="314"/>
      <c r="D73" s="314"/>
      <c r="E73" s="314"/>
      <c r="F73" s="314"/>
      <c r="G73" s="314"/>
      <c r="H73" s="315"/>
      <c r="I73" s="324"/>
      <c r="J73" s="339" t="s">
        <v>389</v>
      </c>
      <c r="K73" s="691" t="s">
        <v>400</v>
      </c>
      <c r="L73" s="691"/>
      <c r="M73" s="348">
        <f>VLOOKUP(+I72,TabelPctReg,2)</f>
        <v>31.779800000000002</v>
      </c>
      <c r="O73" s="306"/>
      <c r="P73" s="306"/>
      <c r="Q73" s="357"/>
      <c r="R73" s="357"/>
      <c r="S73" s="672"/>
      <c r="T73" s="672"/>
      <c r="U73" s="672"/>
      <c r="V73" s="672"/>
      <c r="W73" s="672"/>
      <c r="X73" s="672"/>
      <c r="Y73" s="672"/>
      <c r="Z73" s="672"/>
      <c r="AB73" s="367"/>
      <c r="AD73" s="367"/>
      <c r="AE73" s="473"/>
      <c r="AF73" s="473"/>
      <c r="AG73" s="367"/>
      <c r="AH73" s="367"/>
    </row>
    <row r="74" spans="1:37" ht="12.75" customHeight="1">
      <c r="A74" s="306"/>
      <c r="O74" s="366"/>
      <c r="P74" s="366"/>
      <c r="Q74" s="366"/>
      <c r="R74" s="357"/>
      <c r="S74" s="357"/>
      <c r="T74" s="357"/>
      <c r="U74" s="357"/>
      <c r="V74" s="357"/>
      <c r="W74" s="357"/>
      <c r="X74" s="357"/>
      <c r="Y74" s="357"/>
      <c r="Z74" s="357"/>
      <c r="AB74" s="367"/>
      <c r="AD74" s="367"/>
      <c r="AE74" s="473"/>
      <c r="AF74" s="473"/>
      <c r="AG74" s="367"/>
      <c r="AH74" s="367"/>
    </row>
    <row r="75" spans="1:37" ht="11.25" customHeight="1">
      <c r="A75" s="307"/>
      <c r="B75" s="307"/>
      <c r="C75" s="307"/>
      <c r="D75" s="307"/>
      <c r="E75" s="307"/>
      <c r="F75" s="307"/>
      <c r="G75" s="307"/>
      <c r="H75" s="307"/>
      <c r="I75" s="337" t="s">
        <v>162</v>
      </c>
      <c r="J75" s="337" t="s">
        <v>21</v>
      </c>
      <c r="K75" s="337"/>
      <c r="L75" s="337" t="s">
        <v>234</v>
      </c>
      <c r="M75" s="351" t="s">
        <v>235</v>
      </c>
      <c r="N75" s="308"/>
      <c r="O75" s="366"/>
      <c r="P75" s="350" t="s">
        <v>408</v>
      </c>
      <c r="Q75" s="350"/>
      <c r="R75" s="349"/>
      <c r="S75" s="349"/>
      <c r="T75" s="349"/>
      <c r="U75" s="683"/>
      <c r="V75" s="684"/>
      <c r="W75" s="684"/>
      <c r="X75" s="684"/>
      <c r="Y75" s="685"/>
      <c r="Z75" s="357"/>
      <c r="AB75" s="368"/>
      <c r="AC75" s="467"/>
      <c r="AD75" s="368"/>
      <c r="AE75" s="368"/>
      <c r="AF75" s="368"/>
      <c r="AG75" s="368"/>
      <c r="AH75" s="368"/>
    </row>
    <row r="76" spans="1:37" ht="11.25" customHeight="1">
      <c r="A76" s="309"/>
      <c r="B76" s="309"/>
      <c r="C76" s="309"/>
      <c r="D76" s="309"/>
      <c r="E76" s="309"/>
      <c r="F76" s="309"/>
      <c r="G76" s="309"/>
      <c r="H76" s="309"/>
      <c r="I76" s="337" t="s">
        <v>163</v>
      </c>
      <c r="J76" s="337" t="s">
        <v>123</v>
      </c>
      <c r="K76" s="337"/>
      <c r="L76" s="338">
        <f>Dato1</f>
        <v>42370</v>
      </c>
      <c r="M76" s="352">
        <f>Dato1</f>
        <v>42370</v>
      </c>
      <c r="N76" s="308"/>
      <c r="O76" s="306"/>
      <c r="P76" s="700" t="e">
        <f>+VLOOKUP(U75,Vejledning!1:1048576,3,1)</f>
        <v>#N/A</v>
      </c>
      <c r="Q76" s="700"/>
      <c r="R76" s="700"/>
      <c r="S76" s="700"/>
      <c r="T76" s="700"/>
      <c r="U76" s="700"/>
      <c r="V76" s="700"/>
      <c r="W76" s="700"/>
      <c r="X76" s="700"/>
      <c r="Y76" s="700"/>
      <c r="Z76" s="306"/>
      <c r="AB76" s="368"/>
      <c r="AC76" s="467"/>
      <c r="AD76" s="368"/>
      <c r="AE76" s="368"/>
      <c r="AF76" s="368"/>
      <c r="AG76" s="368"/>
      <c r="AH76" s="368"/>
    </row>
    <row r="77" spans="1:37" ht="11.25" customHeight="1">
      <c r="A77" s="310"/>
      <c r="B77" s="306"/>
      <c r="C77" s="306"/>
      <c r="D77" s="306"/>
      <c r="E77" s="306"/>
      <c r="F77" s="306"/>
      <c r="G77" s="306"/>
      <c r="H77" s="306"/>
      <c r="I77" s="338">
        <f>VLOOKUP(I72,TabelPctReg,3)</f>
        <v>36616</v>
      </c>
      <c r="J77" s="337"/>
      <c r="K77" s="337"/>
      <c r="L77" s="338" t="s">
        <v>399</v>
      </c>
      <c r="M77" s="352" t="s">
        <v>399</v>
      </c>
      <c r="N77" s="311"/>
      <c r="O77" s="342"/>
      <c r="P77" s="700"/>
      <c r="Q77" s="700"/>
      <c r="R77" s="700"/>
      <c r="S77" s="700"/>
      <c r="T77" s="700"/>
      <c r="U77" s="700"/>
      <c r="V77" s="700"/>
      <c r="W77" s="700"/>
      <c r="X77" s="700"/>
      <c r="Y77" s="700"/>
      <c r="Z77" s="389"/>
      <c r="AB77" s="368"/>
      <c r="AC77" s="467"/>
      <c r="AD77" s="368"/>
      <c r="AE77" s="368"/>
      <c r="AF77" s="368"/>
      <c r="AG77" s="368"/>
      <c r="AH77" s="368"/>
    </row>
    <row r="78" spans="1:37" ht="6.75" customHeight="1">
      <c r="A78" s="310"/>
      <c r="B78" s="306"/>
      <c r="C78" s="306"/>
      <c r="D78" s="306"/>
      <c r="E78" s="306"/>
      <c r="F78" s="306"/>
      <c r="G78" s="306"/>
      <c r="H78" s="306"/>
      <c r="I78" s="311"/>
      <c r="J78" s="334"/>
      <c r="K78" s="337"/>
      <c r="L78" s="336"/>
      <c r="M78" s="336"/>
      <c r="N78" s="311"/>
      <c r="O78" s="374"/>
      <c r="P78" s="700"/>
      <c r="Q78" s="700"/>
      <c r="R78" s="700"/>
      <c r="S78" s="700"/>
      <c r="T78" s="700"/>
      <c r="U78" s="700"/>
      <c r="V78" s="700"/>
      <c r="W78" s="700"/>
      <c r="X78" s="700"/>
      <c r="Y78" s="700"/>
      <c r="Z78" s="389"/>
      <c r="AB78" s="368"/>
      <c r="AC78" s="467"/>
      <c r="AD78" s="368"/>
      <c r="AE78" s="368"/>
      <c r="AF78" s="368"/>
      <c r="AG78" s="368"/>
      <c r="AH78" s="368"/>
    </row>
    <row r="79" spans="1:37" ht="12.75" customHeight="1">
      <c r="A79" s="317"/>
      <c r="B79" s="314" t="s">
        <v>391</v>
      </c>
      <c r="C79" s="314"/>
      <c r="D79" s="314"/>
      <c r="E79" s="314"/>
      <c r="F79" s="314"/>
      <c r="G79" s="314"/>
      <c r="H79" s="314"/>
      <c r="I79" s="417"/>
      <c r="J79" s="323"/>
      <c r="K79" s="337"/>
      <c r="L79" s="312">
        <f>ROUND(VLOOKUP(J79,TabelLøn,+L72,1)*(I71/M71),2)</f>
        <v>0</v>
      </c>
      <c r="M79" s="313">
        <f>L79*12</f>
        <v>0</v>
      </c>
      <c r="O79" s="374"/>
      <c r="P79" s="700"/>
      <c r="Q79" s="700"/>
      <c r="R79" s="700"/>
      <c r="S79" s="700"/>
      <c r="T79" s="700"/>
      <c r="U79" s="700"/>
      <c r="V79" s="700"/>
      <c r="W79" s="700"/>
      <c r="X79" s="700"/>
      <c r="Y79" s="700"/>
      <c r="Z79" s="389"/>
      <c r="AB79" s="368"/>
      <c r="AC79" s="467"/>
      <c r="AD79" s="368"/>
      <c r="AE79" s="368"/>
      <c r="AF79" s="368"/>
      <c r="AG79" s="368"/>
      <c r="AH79" s="368"/>
    </row>
    <row r="80" spans="1:37" ht="12.75" customHeight="1">
      <c r="A80" s="317"/>
      <c r="B80" s="314"/>
      <c r="C80" s="328" t="s">
        <v>390</v>
      </c>
      <c r="D80" s="314"/>
      <c r="E80" s="314"/>
      <c r="F80" s="314"/>
      <c r="G80" s="314"/>
      <c r="H80" s="315"/>
      <c r="I80" s="316"/>
      <c r="J80" s="426"/>
      <c r="K80" s="337"/>
      <c r="L80" s="312">
        <f>ROUND(I80/12*(I71/M71)*(1+PctRegNyLøn%),2)</f>
        <v>0</v>
      </c>
      <c r="M80" s="313">
        <f>L80*12</f>
        <v>0</v>
      </c>
      <c r="O80" s="375"/>
      <c r="P80" s="700"/>
      <c r="Q80" s="700"/>
      <c r="R80" s="700"/>
      <c r="S80" s="700"/>
      <c r="T80" s="700"/>
      <c r="U80" s="700"/>
      <c r="V80" s="700"/>
      <c r="W80" s="700"/>
      <c r="X80" s="700"/>
      <c r="Y80" s="700"/>
      <c r="Z80" s="375"/>
      <c r="AB80" s="367"/>
      <c r="AD80" s="367"/>
      <c r="AE80" s="473"/>
      <c r="AF80" s="473"/>
      <c r="AG80" s="367"/>
      <c r="AH80" s="367"/>
    </row>
    <row r="81" spans="1:34" ht="6" customHeight="1">
      <c r="A81" s="317"/>
      <c r="B81" s="317"/>
      <c r="C81" s="317"/>
      <c r="D81" s="317"/>
      <c r="E81" s="317"/>
      <c r="F81" s="317"/>
      <c r="G81" s="317"/>
      <c r="H81" s="317"/>
      <c r="I81" s="329"/>
      <c r="J81" s="308"/>
      <c r="K81" s="337"/>
      <c r="L81" s="329"/>
      <c r="M81" s="329"/>
      <c r="N81" s="657" t="s">
        <v>426</v>
      </c>
      <c r="O81" s="657"/>
      <c r="P81" s="657"/>
      <c r="Q81" s="657"/>
      <c r="R81" s="657"/>
      <c r="S81" s="657"/>
      <c r="T81" s="657"/>
      <c r="U81" s="657"/>
      <c r="V81" s="657"/>
      <c r="W81" s="657"/>
      <c r="X81" s="657"/>
      <c r="Y81" s="657"/>
      <c r="Z81" s="657"/>
      <c r="AA81" s="657"/>
      <c r="AB81" s="367"/>
      <c r="AD81" s="367"/>
      <c r="AE81" s="473"/>
      <c r="AF81" s="473"/>
      <c r="AG81" s="367"/>
      <c r="AH81" s="367"/>
    </row>
    <row r="82" spans="1:34" ht="12.75" customHeight="1">
      <c r="A82" s="317"/>
      <c r="B82" s="327" t="s">
        <v>145</v>
      </c>
      <c r="C82" s="327"/>
      <c r="D82" s="327"/>
      <c r="E82" s="310"/>
      <c r="F82" s="310"/>
      <c r="G82" s="310"/>
      <c r="H82" s="310"/>
      <c r="I82" s="310"/>
      <c r="J82" s="308"/>
      <c r="K82" s="337"/>
      <c r="L82" s="310"/>
      <c r="M82" s="310"/>
      <c r="N82" s="657"/>
      <c r="O82" s="657"/>
      <c r="P82" s="657"/>
      <c r="Q82" s="657"/>
      <c r="R82" s="657"/>
      <c r="S82" s="657"/>
      <c r="T82" s="657"/>
      <c r="U82" s="657"/>
      <c r="V82" s="657"/>
      <c r="W82" s="657"/>
      <c r="X82" s="657"/>
      <c r="Y82" s="657"/>
      <c r="Z82" s="657"/>
      <c r="AA82" s="657"/>
      <c r="AB82" s="367"/>
      <c r="AD82" s="367"/>
      <c r="AE82" s="473"/>
      <c r="AF82" s="473"/>
      <c r="AG82" s="367"/>
      <c r="AH82" s="367"/>
    </row>
    <row r="83" spans="1:34" ht="6" customHeight="1">
      <c r="A83" s="317"/>
      <c r="B83" s="310"/>
      <c r="C83" s="330" t="s">
        <v>388</v>
      </c>
      <c r="D83" s="306"/>
      <c r="E83" s="306"/>
      <c r="F83" s="306"/>
      <c r="G83" s="306"/>
      <c r="H83" s="306"/>
      <c r="I83" s="306"/>
      <c r="J83" s="331"/>
      <c r="K83" s="337"/>
      <c r="L83" s="306"/>
      <c r="M83" s="306"/>
      <c r="N83" s="306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B83" s="367"/>
      <c r="AD83" s="367"/>
      <c r="AE83" s="473"/>
      <c r="AF83" s="473"/>
      <c r="AG83" s="367"/>
      <c r="AH83" s="367"/>
    </row>
    <row r="84" spans="1:34" ht="12.75" customHeight="1">
      <c r="A84" s="317"/>
      <c r="B84" s="310"/>
      <c r="C84" s="306" t="s">
        <v>395</v>
      </c>
      <c r="D84" s="310"/>
      <c r="E84" s="310"/>
      <c r="F84" s="310"/>
      <c r="G84" s="310"/>
      <c r="H84" s="310"/>
      <c r="I84" s="417"/>
      <c r="J84" s="323"/>
      <c r="K84" s="337"/>
      <c r="L84" s="312">
        <f>ROUND((VLOOKUP($J$79+J84,TabelLøn,+L72,1)-VLOOKUP($J$79,TabelLøn,+L72,1))*($I$71/$M$71),2)</f>
        <v>0</v>
      </c>
      <c r="M84" s="313">
        <f>L84*12</f>
        <v>0</v>
      </c>
      <c r="O84" s="633"/>
      <c r="P84" s="634"/>
      <c r="Q84" s="634"/>
      <c r="R84" s="634"/>
      <c r="S84" s="634"/>
      <c r="T84" s="634"/>
      <c r="U84" s="634"/>
      <c r="V84" s="634"/>
      <c r="W84" s="634"/>
      <c r="X84" s="634"/>
      <c r="Y84" s="634"/>
      <c r="Z84" s="635"/>
      <c r="AB84" s="367"/>
      <c r="AD84" s="367"/>
      <c r="AE84" s="473"/>
      <c r="AF84" s="473"/>
      <c r="AG84" s="367"/>
      <c r="AH84" s="367"/>
    </row>
    <row r="85" spans="1:34" ht="12.75" customHeight="1">
      <c r="A85" s="317"/>
      <c r="B85" s="310"/>
      <c r="C85" s="306" t="s">
        <v>396</v>
      </c>
      <c r="D85" s="310"/>
      <c r="E85" s="310"/>
      <c r="F85" s="310"/>
      <c r="G85" s="310"/>
      <c r="H85" s="318"/>
      <c r="I85" s="316"/>
      <c r="J85" s="421"/>
      <c r="K85" s="337"/>
      <c r="L85" s="312">
        <f>ROUND(I85/12*($I$71/$M$71)*(1+PctRegNyLøn%),2)</f>
        <v>0</v>
      </c>
      <c r="M85" s="313">
        <f>L85*12</f>
        <v>0</v>
      </c>
      <c r="O85" s="633"/>
      <c r="P85" s="634"/>
      <c r="Q85" s="634"/>
      <c r="R85" s="634"/>
      <c r="S85" s="634"/>
      <c r="T85" s="634"/>
      <c r="U85" s="634"/>
      <c r="V85" s="634"/>
      <c r="W85" s="634"/>
      <c r="X85" s="634"/>
      <c r="Y85" s="634"/>
      <c r="Z85" s="635"/>
      <c r="AB85" s="367"/>
      <c r="AD85" s="367"/>
      <c r="AE85" s="473"/>
      <c r="AF85" s="473"/>
      <c r="AG85" s="367"/>
      <c r="AH85" s="367"/>
    </row>
    <row r="86" spans="1:34" ht="6" customHeight="1">
      <c r="A86" s="317"/>
      <c r="B86" s="310"/>
      <c r="C86" s="330" t="s">
        <v>388</v>
      </c>
      <c r="D86" s="306"/>
      <c r="E86" s="306"/>
      <c r="F86" s="306"/>
      <c r="G86" s="306"/>
      <c r="H86" s="306"/>
      <c r="I86" s="306"/>
      <c r="J86" s="331"/>
      <c r="K86" s="337"/>
      <c r="L86" s="306"/>
      <c r="M86" s="306"/>
      <c r="N86" s="306"/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35"/>
      <c r="AB86" s="367"/>
      <c r="AD86" s="367"/>
      <c r="AE86" s="473"/>
      <c r="AF86" s="473"/>
      <c r="AG86" s="367"/>
      <c r="AH86" s="367"/>
    </row>
    <row r="87" spans="1:34" ht="12.75" customHeight="1">
      <c r="A87" s="317"/>
      <c r="B87" s="310"/>
      <c r="C87" s="306" t="s">
        <v>393</v>
      </c>
      <c r="D87" s="310"/>
      <c r="E87" s="310"/>
      <c r="F87" s="310"/>
      <c r="G87" s="310"/>
      <c r="H87" s="310"/>
      <c r="I87" s="418"/>
      <c r="J87" s="323"/>
      <c r="K87" s="337"/>
      <c r="L87" s="312">
        <f>ROUND((VLOOKUP($J$79+J84+J87,TabelLøn,+L72,1)-VLOOKUP($J$79+J84,TabelLøn,+L72,1))*($I$71/$M$71),2)</f>
        <v>0</v>
      </c>
      <c r="M87" s="313">
        <f t="shared" ref="M87:M94" si="2">L87*12</f>
        <v>0</v>
      </c>
      <c r="O87" s="633"/>
      <c r="P87" s="634"/>
      <c r="Q87" s="634"/>
      <c r="R87" s="634"/>
      <c r="S87" s="634"/>
      <c r="T87" s="634"/>
      <c r="U87" s="634"/>
      <c r="V87" s="634"/>
      <c r="W87" s="634"/>
      <c r="X87" s="634"/>
      <c r="Y87" s="634"/>
      <c r="Z87" s="635"/>
      <c r="AB87" s="367"/>
      <c r="AD87" s="367"/>
      <c r="AE87" s="473"/>
      <c r="AF87" s="473"/>
      <c r="AG87" s="367"/>
      <c r="AH87" s="367"/>
    </row>
    <row r="88" spans="1:34" ht="12.75" customHeight="1">
      <c r="A88" s="317"/>
      <c r="B88" s="310"/>
      <c r="C88" s="306" t="s">
        <v>393</v>
      </c>
      <c r="D88" s="310"/>
      <c r="E88" s="310"/>
      <c r="F88" s="310"/>
      <c r="G88" s="310"/>
      <c r="H88" s="310"/>
      <c r="I88" s="418"/>
      <c r="J88" s="323"/>
      <c r="K88" s="337"/>
      <c r="L88" s="312">
        <f>ROUND((VLOOKUP($J$79+J84+J87+J88,TabelLøn,+L72,1)-VLOOKUP($J$79+J84+J87,TabelLøn,+L72,1))*($I$71/$M$71),2)</f>
        <v>0</v>
      </c>
      <c r="M88" s="313">
        <f t="shared" si="2"/>
        <v>0</v>
      </c>
      <c r="O88" s="633"/>
      <c r="P88" s="634"/>
      <c r="Q88" s="634"/>
      <c r="R88" s="634"/>
      <c r="S88" s="634"/>
      <c r="T88" s="634"/>
      <c r="U88" s="634"/>
      <c r="V88" s="634"/>
      <c r="W88" s="634"/>
      <c r="X88" s="634"/>
      <c r="Y88" s="634"/>
      <c r="Z88" s="635"/>
      <c r="AB88" s="367"/>
      <c r="AD88" s="367"/>
      <c r="AE88" s="473"/>
      <c r="AF88" s="473"/>
      <c r="AG88" s="367"/>
      <c r="AH88" s="367"/>
    </row>
    <row r="89" spans="1:34" ht="12.75" customHeight="1">
      <c r="A89" s="317"/>
      <c r="B89" s="310"/>
      <c r="C89" s="306" t="s">
        <v>393</v>
      </c>
      <c r="D89" s="310"/>
      <c r="E89" s="310"/>
      <c r="F89" s="310"/>
      <c r="G89" s="310"/>
      <c r="H89" s="310"/>
      <c r="I89" s="418"/>
      <c r="J89" s="323"/>
      <c r="K89" s="337"/>
      <c r="L89" s="312">
        <f>ROUND((VLOOKUP($J$79+J84+J87+J88+J89,TabelLøn,+L72,1)-VLOOKUP($J$79+J84+J87+J88,TabelLøn,+L72,1))*($I$71/$M$71),2)</f>
        <v>0</v>
      </c>
      <c r="M89" s="313">
        <f t="shared" si="2"/>
        <v>0</v>
      </c>
      <c r="O89" s="633"/>
      <c r="P89" s="634"/>
      <c r="Q89" s="634"/>
      <c r="R89" s="634"/>
      <c r="S89" s="634"/>
      <c r="T89" s="634"/>
      <c r="U89" s="634"/>
      <c r="V89" s="634"/>
      <c r="W89" s="634"/>
      <c r="X89" s="634"/>
      <c r="Y89" s="634"/>
      <c r="Z89" s="635"/>
      <c r="AB89" s="367"/>
      <c r="AD89" s="367"/>
      <c r="AE89" s="473"/>
      <c r="AF89" s="473"/>
      <c r="AG89" s="367"/>
      <c r="AH89" s="367"/>
    </row>
    <row r="90" spans="1:34" ht="12.75" customHeight="1">
      <c r="A90" s="317"/>
      <c r="B90" s="310"/>
      <c r="C90" s="306" t="s">
        <v>393</v>
      </c>
      <c r="D90" s="310"/>
      <c r="E90" s="310"/>
      <c r="F90" s="310"/>
      <c r="G90" s="310"/>
      <c r="H90" s="310"/>
      <c r="I90" s="417"/>
      <c r="J90" s="323"/>
      <c r="K90" s="337"/>
      <c r="L90" s="312">
        <f>ROUND((VLOOKUP($J$79+J84+J87+J88+J89+J90,TabelLøn,+L72,1)-VLOOKUP($J$79+J84+J87+J88+J89,TabelLøn,+L72,1))*($I$71/$M$71),2)</f>
        <v>0</v>
      </c>
      <c r="M90" s="313">
        <f t="shared" si="2"/>
        <v>0</v>
      </c>
      <c r="O90" s="633"/>
      <c r="P90" s="634"/>
      <c r="Q90" s="634"/>
      <c r="R90" s="634"/>
      <c r="S90" s="634"/>
      <c r="T90" s="634"/>
      <c r="U90" s="634"/>
      <c r="V90" s="634"/>
      <c r="W90" s="634"/>
      <c r="X90" s="634"/>
      <c r="Y90" s="634"/>
      <c r="Z90" s="635"/>
      <c r="AB90" s="367"/>
      <c r="AD90" s="367"/>
      <c r="AE90" s="473"/>
      <c r="AF90" s="473"/>
      <c r="AG90" s="367"/>
      <c r="AH90" s="367"/>
    </row>
    <row r="91" spans="1:34" ht="12.75" customHeight="1">
      <c r="A91" s="317"/>
      <c r="B91" s="310"/>
      <c r="C91" s="306" t="s">
        <v>394</v>
      </c>
      <c r="D91" s="310"/>
      <c r="E91" s="310"/>
      <c r="F91" s="310"/>
      <c r="G91" s="310"/>
      <c r="H91" s="318"/>
      <c r="I91" s="316"/>
      <c r="J91" s="419"/>
      <c r="K91" s="337"/>
      <c r="L91" s="312">
        <f>ROUND(I91/12*($I$71/$M$71)*(1+PctRegNyLøn%),2)</f>
        <v>0</v>
      </c>
      <c r="M91" s="313">
        <f t="shared" si="2"/>
        <v>0</v>
      </c>
      <c r="O91" s="633"/>
      <c r="P91" s="634"/>
      <c r="Q91" s="634"/>
      <c r="R91" s="634"/>
      <c r="S91" s="634"/>
      <c r="T91" s="634"/>
      <c r="U91" s="634"/>
      <c r="V91" s="634"/>
      <c r="W91" s="634"/>
      <c r="X91" s="634"/>
      <c r="Y91" s="634"/>
      <c r="Z91" s="635"/>
      <c r="AB91" s="367"/>
      <c r="AD91" s="367"/>
      <c r="AE91" s="473"/>
      <c r="AF91" s="473"/>
      <c r="AG91" s="367"/>
      <c r="AH91" s="367"/>
    </row>
    <row r="92" spans="1:34" ht="12.75" customHeight="1">
      <c r="A92" s="317"/>
      <c r="B92" s="310"/>
      <c r="C92" s="306" t="s">
        <v>394</v>
      </c>
      <c r="D92" s="310"/>
      <c r="E92" s="310"/>
      <c r="F92" s="310"/>
      <c r="G92" s="310"/>
      <c r="H92" s="318"/>
      <c r="I92" s="316"/>
      <c r="J92" s="420"/>
      <c r="K92" s="337"/>
      <c r="L92" s="312">
        <f>ROUND(I92/12*($I$71/$M$71)*(1+PctRegNyLøn%),2)</f>
        <v>0</v>
      </c>
      <c r="M92" s="313">
        <f t="shared" si="2"/>
        <v>0</v>
      </c>
      <c r="O92" s="633"/>
      <c r="P92" s="634"/>
      <c r="Q92" s="634"/>
      <c r="R92" s="634"/>
      <c r="S92" s="634"/>
      <c r="T92" s="634"/>
      <c r="U92" s="634"/>
      <c r="V92" s="634"/>
      <c r="W92" s="634"/>
      <c r="X92" s="634"/>
      <c r="Y92" s="634"/>
      <c r="Z92" s="635"/>
      <c r="AB92" s="367"/>
      <c r="AD92" s="367"/>
      <c r="AE92" s="473"/>
      <c r="AF92" s="473"/>
      <c r="AG92" s="367"/>
      <c r="AH92" s="367"/>
    </row>
    <row r="93" spans="1:34" ht="12.75" customHeight="1">
      <c r="A93" s="317"/>
      <c r="B93" s="310"/>
      <c r="C93" s="306" t="s">
        <v>394</v>
      </c>
      <c r="D93" s="310"/>
      <c r="E93" s="310"/>
      <c r="F93" s="310"/>
      <c r="G93" s="310"/>
      <c r="H93" s="318"/>
      <c r="I93" s="316"/>
      <c r="J93" s="420"/>
      <c r="K93" s="337"/>
      <c r="L93" s="312">
        <f>ROUND(I93/12*($I$71/$M$71)*(1+PctRegNyLøn%),2)</f>
        <v>0</v>
      </c>
      <c r="M93" s="313">
        <f t="shared" si="2"/>
        <v>0</v>
      </c>
      <c r="O93" s="633"/>
      <c r="P93" s="634"/>
      <c r="Q93" s="634"/>
      <c r="R93" s="634"/>
      <c r="S93" s="634"/>
      <c r="T93" s="634"/>
      <c r="U93" s="634"/>
      <c r="V93" s="634"/>
      <c r="W93" s="634"/>
      <c r="X93" s="634"/>
      <c r="Y93" s="634"/>
      <c r="Z93" s="635"/>
      <c r="AB93" s="367"/>
      <c r="AD93" s="367"/>
      <c r="AE93" s="473"/>
      <c r="AF93" s="473"/>
      <c r="AG93" s="367"/>
      <c r="AH93" s="367"/>
    </row>
    <row r="94" spans="1:34" ht="12.75" customHeight="1">
      <c r="A94" s="317"/>
      <c r="B94" s="310"/>
      <c r="C94" s="306" t="s">
        <v>394</v>
      </c>
      <c r="D94" s="310"/>
      <c r="E94" s="310"/>
      <c r="F94" s="310"/>
      <c r="G94" s="310"/>
      <c r="H94" s="318"/>
      <c r="I94" s="316"/>
      <c r="J94" s="420"/>
      <c r="K94" s="337"/>
      <c r="L94" s="312">
        <f>ROUND(I94/12*($I$71/$M$71)*(1+PctRegNyLøn%),2)</f>
        <v>0</v>
      </c>
      <c r="M94" s="313">
        <f t="shared" si="2"/>
        <v>0</v>
      </c>
      <c r="O94" s="633"/>
      <c r="P94" s="634"/>
      <c r="Q94" s="634"/>
      <c r="R94" s="634"/>
      <c r="S94" s="634"/>
      <c r="T94" s="634"/>
      <c r="U94" s="634"/>
      <c r="V94" s="634"/>
      <c r="W94" s="634"/>
      <c r="X94" s="634"/>
      <c r="Y94" s="634"/>
      <c r="Z94" s="635"/>
      <c r="AB94" s="367"/>
      <c r="AD94" s="367"/>
      <c r="AE94" s="473"/>
      <c r="AF94" s="473"/>
      <c r="AG94" s="367"/>
      <c r="AH94" s="367"/>
    </row>
    <row r="95" spans="1:34" ht="6" customHeight="1">
      <c r="A95" s="317"/>
      <c r="B95" s="310"/>
      <c r="C95" s="306"/>
      <c r="D95" s="306"/>
      <c r="E95" s="306"/>
      <c r="F95" s="306"/>
      <c r="G95" s="306"/>
      <c r="H95" s="306"/>
      <c r="I95" s="306"/>
      <c r="J95" s="331"/>
      <c r="K95" s="337"/>
      <c r="L95" s="306"/>
      <c r="M95" s="306"/>
      <c r="N95" s="306"/>
      <c r="O95" s="335"/>
      <c r="P95" s="335"/>
      <c r="Q95" s="335"/>
      <c r="R95" s="335"/>
      <c r="S95" s="335"/>
      <c r="T95" s="335"/>
      <c r="U95" s="335"/>
      <c r="V95" s="335"/>
      <c r="W95" s="335"/>
      <c r="X95" s="335"/>
      <c r="Y95" s="335"/>
      <c r="Z95" s="335"/>
      <c r="AB95" s="367"/>
      <c r="AD95" s="367"/>
      <c r="AE95" s="473"/>
      <c r="AF95" s="473"/>
      <c r="AG95" s="367"/>
      <c r="AH95" s="367"/>
    </row>
    <row r="96" spans="1:34" ht="12.75" customHeight="1">
      <c r="A96" s="317"/>
      <c r="B96" s="310"/>
      <c r="C96" s="306" t="s">
        <v>403</v>
      </c>
      <c r="D96" s="310"/>
      <c r="E96" s="310"/>
      <c r="F96" s="310"/>
      <c r="G96" s="310"/>
      <c r="H96" s="318"/>
      <c r="I96" s="316"/>
      <c r="J96" s="420"/>
      <c r="K96" s="337"/>
      <c r="L96" s="312">
        <f>ROUND(I96/12*($I$71/$M$71)*(1+PctRegNyLøn%),2)</f>
        <v>0</v>
      </c>
      <c r="M96" s="313">
        <f>L96*12</f>
        <v>0</v>
      </c>
      <c r="O96" s="633"/>
      <c r="P96" s="634"/>
      <c r="Q96" s="634"/>
      <c r="R96" s="634"/>
      <c r="S96" s="634"/>
      <c r="T96" s="634"/>
      <c r="U96" s="634"/>
      <c r="V96" s="634"/>
      <c r="W96" s="634"/>
      <c r="X96" s="634"/>
      <c r="Y96" s="634"/>
      <c r="Z96" s="635"/>
      <c r="AB96" s="367"/>
      <c r="AD96" s="367"/>
      <c r="AE96" s="473"/>
      <c r="AF96" s="473"/>
      <c r="AG96" s="367"/>
      <c r="AH96" s="367"/>
    </row>
    <row r="97" spans="1:34" ht="12.75" customHeight="1">
      <c r="A97" s="317"/>
      <c r="B97" s="310"/>
      <c r="C97" s="306" t="s">
        <v>392</v>
      </c>
      <c r="D97" s="310"/>
      <c r="E97" s="310"/>
      <c r="F97" s="310"/>
      <c r="G97" s="310"/>
      <c r="H97" s="318"/>
      <c r="I97" s="316"/>
      <c r="J97" s="420"/>
      <c r="K97" s="337"/>
      <c r="L97" s="312">
        <f>ROUND(I97/12*($I$71/$M$71)*(1+PctRegNyLøn%),2)</f>
        <v>0</v>
      </c>
      <c r="M97" s="313">
        <f>L97*12</f>
        <v>0</v>
      </c>
      <c r="O97" s="633"/>
      <c r="P97" s="634"/>
      <c r="Q97" s="634"/>
      <c r="R97" s="634"/>
      <c r="S97" s="634"/>
      <c r="T97" s="634"/>
      <c r="U97" s="634"/>
      <c r="V97" s="634"/>
      <c r="W97" s="634"/>
      <c r="X97" s="634"/>
      <c r="Y97" s="634"/>
      <c r="Z97" s="635"/>
      <c r="AB97" s="367"/>
      <c r="AD97" s="367"/>
      <c r="AE97" s="473"/>
      <c r="AF97" s="473"/>
      <c r="AG97" s="367"/>
      <c r="AH97" s="367"/>
    </row>
    <row r="98" spans="1:34" ht="6" customHeight="1">
      <c r="A98" s="317"/>
      <c r="B98" s="310"/>
      <c r="C98" s="330" t="s">
        <v>388</v>
      </c>
      <c r="D98" s="306"/>
      <c r="E98" s="306"/>
      <c r="F98" s="306"/>
      <c r="G98" s="306"/>
      <c r="H98" s="306"/>
      <c r="I98" s="306"/>
      <c r="J98" s="331"/>
      <c r="K98" s="337"/>
      <c r="L98" s="306"/>
      <c r="M98" s="306"/>
      <c r="N98" s="656" t="s">
        <v>451</v>
      </c>
      <c r="O98" s="656"/>
      <c r="P98" s="656"/>
      <c r="Q98" s="656"/>
      <c r="R98" s="656"/>
      <c r="S98" s="656"/>
      <c r="T98" s="656"/>
      <c r="U98" s="656"/>
      <c r="V98" s="656"/>
      <c r="W98" s="656"/>
      <c r="X98" s="656"/>
      <c r="Y98" s="656"/>
      <c r="Z98" s="656"/>
      <c r="AA98" s="656"/>
      <c r="AB98" s="367"/>
      <c r="AD98" s="367"/>
      <c r="AE98" s="473"/>
      <c r="AF98" s="473"/>
      <c r="AG98" s="367"/>
      <c r="AH98" s="367"/>
    </row>
    <row r="99" spans="1:34" ht="12.75" customHeight="1">
      <c r="A99" s="317"/>
      <c r="B99" s="327" t="s">
        <v>146</v>
      </c>
      <c r="C99" s="310"/>
      <c r="D99" s="310"/>
      <c r="E99" s="310"/>
      <c r="F99" s="310"/>
      <c r="G99" s="310"/>
      <c r="H99" s="310"/>
      <c r="I99" s="310"/>
      <c r="J99" s="308"/>
      <c r="K99" s="337"/>
      <c r="L99" s="310"/>
      <c r="M99" s="310"/>
      <c r="N99" s="656"/>
      <c r="O99" s="656"/>
      <c r="P99" s="656"/>
      <c r="Q99" s="656"/>
      <c r="R99" s="656"/>
      <c r="S99" s="656"/>
      <c r="T99" s="656"/>
      <c r="U99" s="656"/>
      <c r="V99" s="656"/>
      <c r="W99" s="656"/>
      <c r="X99" s="656"/>
      <c r="Y99" s="656"/>
      <c r="Z99" s="656"/>
      <c r="AA99" s="656"/>
      <c r="AB99" s="367"/>
      <c r="AD99" s="367"/>
      <c r="AE99" s="473"/>
      <c r="AF99" s="473"/>
      <c r="AG99" s="367"/>
      <c r="AH99" s="367"/>
    </row>
    <row r="100" spans="1:34" ht="6" customHeight="1">
      <c r="A100" s="317"/>
      <c r="B100" s="310"/>
      <c r="C100" s="330" t="s">
        <v>388</v>
      </c>
      <c r="D100" s="306"/>
      <c r="E100" s="306"/>
      <c r="F100" s="306"/>
      <c r="G100" s="306"/>
      <c r="H100" s="306"/>
      <c r="I100" s="306"/>
      <c r="J100" s="331"/>
      <c r="K100" s="337"/>
      <c r="L100" s="306"/>
      <c r="M100" s="306"/>
      <c r="N100" s="306"/>
      <c r="O100" s="335"/>
      <c r="P100" s="335"/>
      <c r="Q100" s="335"/>
      <c r="R100" s="335"/>
      <c r="S100" s="335"/>
      <c r="T100" s="335"/>
      <c r="U100" s="335"/>
      <c r="V100" s="335"/>
      <c r="W100" s="335"/>
      <c r="X100" s="335"/>
      <c r="Y100" s="335"/>
      <c r="Z100" s="335"/>
      <c r="AB100" s="367"/>
      <c r="AD100" s="367"/>
      <c r="AE100" s="473"/>
      <c r="AF100" s="473"/>
      <c r="AG100" s="367"/>
      <c r="AH100" s="367"/>
    </row>
    <row r="101" spans="1:34" ht="12.75" customHeight="1">
      <c r="A101" s="317"/>
      <c r="B101" s="310"/>
      <c r="C101" s="306" t="s">
        <v>397</v>
      </c>
      <c r="D101" s="310"/>
      <c r="E101" s="310"/>
      <c r="F101" s="310"/>
      <c r="G101" s="310"/>
      <c r="H101" s="310"/>
      <c r="I101" s="418"/>
      <c r="J101" s="323"/>
      <c r="K101" s="337"/>
      <c r="L101" s="312">
        <f>ROUND((VLOOKUP($J$79+J84+J87+J88+J89+J90+J101,TabelLøn,+L72,1)-VLOOKUP($J$79+J84+J87+J88+J89+J90,TabelLøn,+L72,1))*($I$71/$M$71),2)</f>
        <v>0</v>
      </c>
      <c r="M101" s="313">
        <f t="shared" ref="M101:M106" si="3">L101*12</f>
        <v>0</v>
      </c>
      <c r="O101" s="633"/>
      <c r="P101" s="634"/>
      <c r="Q101" s="634"/>
      <c r="R101" s="634"/>
      <c r="S101" s="634"/>
      <c r="T101" s="634"/>
      <c r="U101" s="634"/>
      <c r="V101" s="634"/>
      <c r="W101" s="634"/>
      <c r="X101" s="634"/>
      <c r="Y101" s="634"/>
      <c r="Z101" s="635"/>
      <c r="AB101" s="367"/>
      <c r="AD101" s="367"/>
      <c r="AE101" s="473"/>
      <c r="AF101" s="473"/>
      <c r="AG101" s="367"/>
      <c r="AH101" s="367"/>
    </row>
    <row r="102" spans="1:34" ht="12.75" customHeight="1">
      <c r="A102" s="317"/>
      <c r="B102" s="310"/>
      <c r="C102" s="306" t="s">
        <v>397</v>
      </c>
      <c r="D102" s="310"/>
      <c r="E102" s="310"/>
      <c r="F102" s="310"/>
      <c r="G102" s="310"/>
      <c r="H102" s="310"/>
      <c r="I102" s="418"/>
      <c r="J102" s="323"/>
      <c r="K102" s="337"/>
      <c r="L102" s="312">
        <f>ROUND((VLOOKUP($J$79+J84+J87+J88+J89+J90+J101+J102,TabelLøn,+L72,1)-VLOOKUP($J$79+J84+J87+J88+J89+J90+J101,TabelLøn,+L72,1))*($I$71/$M$71),2)</f>
        <v>0</v>
      </c>
      <c r="M102" s="313">
        <f t="shared" si="3"/>
        <v>0</v>
      </c>
      <c r="O102" s="633"/>
      <c r="P102" s="634"/>
      <c r="Q102" s="634"/>
      <c r="R102" s="634"/>
      <c r="S102" s="634"/>
      <c r="T102" s="634"/>
      <c r="U102" s="634"/>
      <c r="V102" s="634"/>
      <c r="W102" s="634"/>
      <c r="X102" s="634"/>
      <c r="Y102" s="634"/>
      <c r="Z102" s="635"/>
      <c r="AB102" s="367"/>
      <c r="AD102" s="367"/>
      <c r="AE102" s="473"/>
      <c r="AF102" s="473"/>
      <c r="AG102" s="367"/>
      <c r="AH102" s="367"/>
    </row>
    <row r="103" spans="1:34" ht="12.75" customHeight="1">
      <c r="A103" s="317"/>
      <c r="B103" s="310"/>
      <c r="C103" s="306" t="s">
        <v>397</v>
      </c>
      <c r="D103" s="310"/>
      <c r="E103" s="310"/>
      <c r="F103" s="310"/>
      <c r="G103" s="310"/>
      <c r="H103" s="310"/>
      <c r="I103" s="417"/>
      <c r="J103" s="323"/>
      <c r="K103" s="337"/>
      <c r="L103" s="312">
        <f>ROUND((VLOOKUP($J$79+J84+J87+J88+J89+J90+J101+J102+J103,TabelLøn,+L72,1)-VLOOKUP($J$79+J84+J87+J88+J89+J90+J101+J102,TabelLøn,+L72,1))*($I$71/$M$71),2)</f>
        <v>0</v>
      </c>
      <c r="M103" s="313">
        <f t="shared" si="3"/>
        <v>0</v>
      </c>
      <c r="O103" s="633"/>
      <c r="P103" s="634"/>
      <c r="Q103" s="634"/>
      <c r="R103" s="634"/>
      <c r="S103" s="634"/>
      <c r="T103" s="634"/>
      <c r="U103" s="634"/>
      <c r="V103" s="634"/>
      <c r="W103" s="634"/>
      <c r="X103" s="634"/>
      <c r="Y103" s="634"/>
      <c r="Z103" s="635"/>
      <c r="AB103" s="367"/>
      <c r="AD103" s="367"/>
      <c r="AE103" s="473"/>
      <c r="AF103" s="473"/>
      <c r="AG103" s="367"/>
      <c r="AH103" s="367"/>
    </row>
    <row r="104" spans="1:34" ht="12.75" customHeight="1">
      <c r="A104" s="306"/>
      <c r="B104" s="310"/>
      <c r="C104" s="306" t="s">
        <v>398</v>
      </c>
      <c r="D104" s="310"/>
      <c r="E104" s="310"/>
      <c r="F104" s="310"/>
      <c r="G104" s="310"/>
      <c r="H104" s="318"/>
      <c r="I104" s="316"/>
      <c r="J104" s="421"/>
      <c r="K104" s="337"/>
      <c r="L104" s="312">
        <f>ROUND(I104/12*($I$71/$M$71)*(1+PctRegNyLøn%),2)</f>
        <v>0</v>
      </c>
      <c r="M104" s="313">
        <f t="shared" si="3"/>
        <v>0</v>
      </c>
      <c r="O104" s="633"/>
      <c r="P104" s="634"/>
      <c r="Q104" s="634"/>
      <c r="R104" s="634"/>
      <c r="S104" s="634"/>
      <c r="T104" s="634"/>
      <c r="U104" s="634"/>
      <c r="V104" s="634"/>
      <c r="W104" s="634"/>
      <c r="X104" s="634"/>
      <c r="Y104" s="634"/>
      <c r="Z104" s="635"/>
      <c r="AB104" s="367"/>
      <c r="AD104" s="367"/>
      <c r="AE104" s="473"/>
      <c r="AF104" s="473"/>
      <c r="AG104" s="367"/>
      <c r="AH104" s="367"/>
    </row>
    <row r="105" spans="1:34" ht="12.75" customHeight="1">
      <c r="A105" s="306"/>
      <c r="B105" s="310"/>
      <c r="C105" s="306" t="s">
        <v>398</v>
      </c>
      <c r="D105" s="310"/>
      <c r="E105" s="310"/>
      <c r="F105" s="310"/>
      <c r="G105" s="310"/>
      <c r="H105" s="318"/>
      <c r="I105" s="316"/>
      <c r="J105" s="422"/>
      <c r="K105" s="337"/>
      <c r="L105" s="312">
        <f>ROUND(I105/12*($I$71/$M$71)*(1+PctRegNyLøn%),2)</f>
        <v>0</v>
      </c>
      <c r="M105" s="313">
        <f t="shared" si="3"/>
        <v>0</v>
      </c>
      <c r="O105" s="633"/>
      <c r="P105" s="634"/>
      <c r="Q105" s="634"/>
      <c r="R105" s="634"/>
      <c r="S105" s="634"/>
      <c r="T105" s="634"/>
      <c r="U105" s="634"/>
      <c r="V105" s="634"/>
      <c r="W105" s="634"/>
      <c r="X105" s="634"/>
      <c r="Y105" s="634"/>
      <c r="Z105" s="635"/>
      <c r="AB105" s="367"/>
      <c r="AD105" s="367"/>
      <c r="AE105" s="473"/>
      <c r="AF105" s="473"/>
      <c r="AG105" s="367"/>
      <c r="AH105" s="367"/>
    </row>
    <row r="106" spans="1:34" ht="12.75" customHeight="1">
      <c r="A106" s="306"/>
      <c r="B106" s="310"/>
      <c r="C106" s="306" t="s">
        <v>398</v>
      </c>
      <c r="D106" s="310"/>
      <c r="E106" s="310"/>
      <c r="F106" s="310"/>
      <c r="G106" s="310"/>
      <c r="H106" s="318"/>
      <c r="I106" s="316"/>
      <c r="J106" s="422"/>
      <c r="K106" s="337"/>
      <c r="L106" s="312">
        <f>ROUND(I106/12*($I$71/$M$71)*(1+PctRegNyLøn%),2)</f>
        <v>0</v>
      </c>
      <c r="M106" s="313">
        <f t="shared" si="3"/>
        <v>0</v>
      </c>
      <c r="O106" s="633"/>
      <c r="P106" s="634"/>
      <c r="Q106" s="634"/>
      <c r="R106" s="634"/>
      <c r="S106" s="634"/>
      <c r="T106" s="634"/>
      <c r="U106" s="634"/>
      <c r="V106" s="634"/>
      <c r="W106" s="634"/>
      <c r="X106" s="634"/>
      <c r="Y106" s="634"/>
      <c r="Z106" s="635"/>
      <c r="AB106" s="367"/>
      <c r="AD106" s="367"/>
      <c r="AE106" s="473"/>
      <c r="AF106" s="473"/>
      <c r="AG106" s="367"/>
      <c r="AH106" s="367"/>
    </row>
    <row r="107" spans="1:34" ht="6" customHeight="1">
      <c r="A107" s="317"/>
      <c r="B107" s="310"/>
      <c r="C107" s="306"/>
      <c r="D107" s="306"/>
      <c r="E107" s="306"/>
      <c r="F107" s="306"/>
      <c r="G107" s="306"/>
      <c r="H107" s="306"/>
      <c r="I107" s="306"/>
      <c r="J107" s="331"/>
      <c r="K107" s="337"/>
      <c r="L107" s="306"/>
      <c r="M107" s="306"/>
      <c r="N107" s="306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335"/>
      <c r="AB107" s="367"/>
      <c r="AD107" s="367"/>
      <c r="AE107" s="473"/>
      <c r="AF107" s="473"/>
      <c r="AG107" s="367"/>
      <c r="AH107" s="367"/>
    </row>
    <row r="108" spans="1:34" ht="12.75" customHeight="1">
      <c r="A108" s="317"/>
      <c r="B108" s="310"/>
      <c r="C108" s="306" t="s">
        <v>401</v>
      </c>
      <c r="D108" s="310"/>
      <c r="E108" s="310"/>
      <c r="F108" s="310"/>
      <c r="G108" s="310"/>
      <c r="H108" s="310"/>
      <c r="I108" s="418"/>
      <c r="J108" s="323"/>
      <c r="K108" s="337"/>
      <c r="L108" s="312">
        <f>ROUND((VLOOKUP($J$79+J84+J87+J88+J89+J90+J101+J102+J103+J108,TabelLøn,+L72,1)-VLOOKUP($J$79+J84+J87+J88+J89+J90+J101+J102+J103,TabelLøn,+L72,1))*($I$71/$M$71),2)</f>
        <v>0</v>
      </c>
      <c r="M108" s="313">
        <f t="shared" ref="M108:M115" si="4">L108*12</f>
        <v>0</v>
      </c>
      <c r="O108" s="633"/>
      <c r="P108" s="634"/>
      <c r="Q108" s="634"/>
      <c r="R108" s="634"/>
      <c r="S108" s="634"/>
      <c r="T108" s="634"/>
      <c r="U108" s="634"/>
      <c r="V108" s="634"/>
      <c r="W108" s="634"/>
      <c r="X108" s="634"/>
      <c r="Y108" s="634"/>
      <c r="Z108" s="635"/>
      <c r="AB108" s="367"/>
      <c r="AD108" s="367"/>
      <c r="AE108" s="473"/>
      <c r="AF108" s="473"/>
      <c r="AG108" s="367"/>
      <c r="AH108" s="367"/>
    </row>
    <row r="109" spans="1:34" ht="12.75" customHeight="1">
      <c r="A109" s="317"/>
      <c r="B109" s="310"/>
      <c r="C109" s="306" t="s">
        <v>401</v>
      </c>
      <c r="D109" s="310"/>
      <c r="E109" s="310"/>
      <c r="F109" s="310"/>
      <c r="G109" s="310"/>
      <c r="H109" s="310"/>
      <c r="I109" s="418"/>
      <c r="J109" s="323"/>
      <c r="K109" s="337"/>
      <c r="L109" s="312">
        <f>ROUND((VLOOKUP($J$79+J84+J87+J88+J89+J90+J101+J102+J103+J108+J109,TabelLøn,+L72,1)-VLOOKUP($J$79+J84+J87+J88+J89+J90+J101+J102+J103+J108,TabelLøn,+L72,1))*($I$71/$M$71),2)</f>
        <v>0</v>
      </c>
      <c r="M109" s="313">
        <f t="shared" si="4"/>
        <v>0</v>
      </c>
      <c r="O109" s="633"/>
      <c r="P109" s="634"/>
      <c r="Q109" s="634"/>
      <c r="R109" s="634"/>
      <c r="S109" s="634"/>
      <c r="T109" s="634"/>
      <c r="U109" s="634"/>
      <c r="V109" s="634"/>
      <c r="W109" s="634"/>
      <c r="X109" s="634"/>
      <c r="Y109" s="634"/>
      <c r="Z109" s="635"/>
      <c r="AB109" s="367"/>
      <c r="AD109" s="367"/>
      <c r="AE109" s="473"/>
      <c r="AF109" s="473"/>
      <c r="AG109" s="367"/>
      <c r="AH109" s="367"/>
    </row>
    <row r="110" spans="1:34" ht="12.75" customHeight="1">
      <c r="A110" s="317"/>
      <c r="B110" s="310"/>
      <c r="C110" s="306" t="s">
        <v>401</v>
      </c>
      <c r="D110" s="310"/>
      <c r="E110" s="310"/>
      <c r="F110" s="310"/>
      <c r="G110" s="310"/>
      <c r="H110" s="310"/>
      <c r="I110" s="418"/>
      <c r="J110" s="323"/>
      <c r="K110" s="337"/>
      <c r="L110" s="312">
        <f>ROUND((VLOOKUP($J$79+J84+J87+J88+J89+J90+J101+J102+J103+J108+J109+J110,TabelLøn,+L72,1)-VLOOKUP($J$79+J84+J87+J88+J89+J90+J101+J102+J103+J108+J109,TabelLøn,+L72,1))*($I$71/$M$71),2)</f>
        <v>0</v>
      </c>
      <c r="M110" s="313">
        <f t="shared" si="4"/>
        <v>0</v>
      </c>
      <c r="O110" s="633"/>
      <c r="P110" s="634"/>
      <c r="Q110" s="634"/>
      <c r="R110" s="634"/>
      <c r="S110" s="634"/>
      <c r="T110" s="634"/>
      <c r="U110" s="634"/>
      <c r="V110" s="634"/>
      <c r="W110" s="634"/>
      <c r="X110" s="634"/>
      <c r="Y110" s="634"/>
      <c r="Z110" s="635"/>
      <c r="AB110" s="367"/>
      <c r="AD110" s="367"/>
      <c r="AE110" s="473"/>
      <c r="AF110" s="473"/>
      <c r="AG110" s="367"/>
      <c r="AH110" s="367"/>
    </row>
    <row r="111" spans="1:34" ht="12.75" customHeight="1">
      <c r="A111" s="317"/>
      <c r="B111" s="310"/>
      <c r="C111" s="306" t="s">
        <v>401</v>
      </c>
      <c r="D111" s="310"/>
      <c r="E111" s="310"/>
      <c r="F111" s="310"/>
      <c r="G111" s="310"/>
      <c r="H111" s="310"/>
      <c r="I111" s="417"/>
      <c r="J111" s="323"/>
      <c r="K111" s="337"/>
      <c r="L111" s="312">
        <f>ROUND((VLOOKUP($J$79+J84+J87+J88+J89+J90+J101+J102+J103+J108+J109+J110+J111,TabelLøn,+L72,1)-VLOOKUP($J$79+J84+J87+J88+J89+J90+J101+J102+J103+J108+J109+J110,TabelLøn,+L72,1))*($I$71/$M$71),2)</f>
        <v>0</v>
      </c>
      <c r="M111" s="313">
        <f t="shared" si="4"/>
        <v>0</v>
      </c>
      <c r="O111" s="633"/>
      <c r="P111" s="634"/>
      <c r="Q111" s="634"/>
      <c r="R111" s="634"/>
      <c r="S111" s="634"/>
      <c r="T111" s="634"/>
      <c r="U111" s="634"/>
      <c r="V111" s="634"/>
      <c r="W111" s="634"/>
      <c r="X111" s="634"/>
      <c r="Y111" s="634"/>
      <c r="Z111" s="635"/>
      <c r="AB111" s="367"/>
      <c r="AD111" s="367"/>
      <c r="AE111" s="473"/>
      <c r="AF111" s="473"/>
      <c r="AG111" s="367"/>
      <c r="AH111" s="367"/>
    </row>
    <row r="112" spans="1:34" ht="12.75" customHeight="1">
      <c r="A112" s="317"/>
      <c r="B112" s="310"/>
      <c r="C112" s="306" t="s">
        <v>402</v>
      </c>
      <c r="D112" s="310"/>
      <c r="E112" s="310"/>
      <c r="F112" s="310"/>
      <c r="G112" s="310"/>
      <c r="H112" s="318"/>
      <c r="I112" s="316"/>
      <c r="J112" s="421"/>
      <c r="K112" s="337"/>
      <c r="L112" s="312">
        <f>ROUND(I112/12*($I$71/$M$71)*(1+PctRegNyLøn%),2)</f>
        <v>0</v>
      </c>
      <c r="M112" s="313">
        <f t="shared" si="4"/>
        <v>0</v>
      </c>
      <c r="O112" s="633"/>
      <c r="P112" s="634"/>
      <c r="Q112" s="634"/>
      <c r="R112" s="634"/>
      <c r="S112" s="634"/>
      <c r="T112" s="634"/>
      <c r="U112" s="634"/>
      <c r="V112" s="634"/>
      <c r="W112" s="634"/>
      <c r="X112" s="634"/>
      <c r="Y112" s="634"/>
      <c r="Z112" s="635"/>
      <c r="AB112" s="367"/>
      <c r="AD112" s="367"/>
      <c r="AE112" s="473"/>
      <c r="AF112" s="473"/>
      <c r="AG112" s="367"/>
      <c r="AH112" s="367"/>
    </row>
    <row r="113" spans="1:34" ht="12.75" customHeight="1">
      <c r="A113" s="317"/>
      <c r="B113" s="310"/>
      <c r="C113" s="306" t="s">
        <v>402</v>
      </c>
      <c r="D113" s="310"/>
      <c r="E113" s="310"/>
      <c r="F113" s="310"/>
      <c r="G113" s="310"/>
      <c r="H113" s="318"/>
      <c r="I113" s="316"/>
      <c r="J113" s="422"/>
      <c r="K113" s="337"/>
      <c r="L113" s="312">
        <f>ROUND(I113/12*($I$71/$M$71)*(1+PctRegNyLøn%),2)</f>
        <v>0</v>
      </c>
      <c r="M113" s="313">
        <f t="shared" si="4"/>
        <v>0</v>
      </c>
      <c r="O113" s="633"/>
      <c r="P113" s="634"/>
      <c r="Q113" s="634"/>
      <c r="R113" s="634"/>
      <c r="S113" s="634"/>
      <c r="T113" s="634"/>
      <c r="U113" s="634"/>
      <c r="V113" s="634"/>
      <c r="W113" s="634"/>
      <c r="X113" s="634"/>
      <c r="Y113" s="634"/>
      <c r="Z113" s="635"/>
      <c r="AB113" s="367"/>
      <c r="AD113" s="367"/>
      <c r="AE113" s="473"/>
      <c r="AF113" s="473"/>
      <c r="AG113" s="367"/>
      <c r="AH113" s="367"/>
    </row>
    <row r="114" spans="1:34" ht="12.75" customHeight="1">
      <c r="A114" s="317"/>
      <c r="B114" s="310"/>
      <c r="C114" s="306" t="s">
        <v>402</v>
      </c>
      <c r="D114" s="310"/>
      <c r="E114" s="310"/>
      <c r="F114" s="310"/>
      <c r="G114" s="310"/>
      <c r="H114" s="318"/>
      <c r="I114" s="316"/>
      <c r="J114" s="422"/>
      <c r="K114" s="337"/>
      <c r="L114" s="312">
        <f>ROUND(I114/12*($I$71/$M$71)*(1+PctRegNyLøn%),2)</f>
        <v>0</v>
      </c>
      <c r="M114" s="313">
        <f t="shared" si="4"/>
        <v>0</v>
      </c>
      <c r="O114" s="633"/>
      <c r="P114" s="634"/>
      <c r="Q114" s="634"/>
      <c r="R114" s="634"/>
      <c r="S114" s="634"/>
      <c r="T114" s="634"/>
      <c r="U114" s="634"/>
      <c r="V114" s="634"/>
      <c r="W114" s="634"/>
      <c r="X114" s="634"/>
      <c r="Y114" s="634"/>
      <c r="Z114" s="635"/>
      <c r="AB114" s="367"/>
      <c r="AD114" s="367"/>
      <c r="AE114" s="473"/>
      <c r="AF114" s="473"/>
      <c r="AG114" s="367"/>
      <c r="AH114" s="367"/>
    </row>
    <row r="115" spans="1:34" ht="12.75" customHeight="1">
      <c r="A115" s="317"/>
      <c r="B115" s="310"/>
      <c r="C115" s="306" t="s">
        <v>402</v>
      </c>
      <c r="D115" s="310"/>
      <c r="E115" s="310"/>
      <c r="F115" s="310"/>
      <c r="G115" s="310"/>
      <c r="H115" s="318"/>
      <c r="I115" s="316"/>
      <c r="J115" s="422"/>
      <c r="K115" s="337"/>
      <c r="L115" s="312">
        <f>ROUND(I115/12*($I$71/$M$71)*(1+PctRegNyLøn%),2)</f>
        <v>0</v>
      </c>
      <c r="M115" s="313">
        <f t="shared" si="4"/>
        <v>0</v>
      </c>
      <c r="O115" s="633"/>
      <c r="P115" s="634"/>
      <c r="Q115" s="634"/>
      <c r="R115" s="634"/>
      <c r="S115" s="634"/>
      <c r="T115" s="634"/>
      <c r="U115" s="634"/>
      <c r="V115" s="634"/>
      <c r="W115" s="634"/>
      <c r="X115" s="634"/>
      <c r="Y115" s="634"/>
      <c r="Z115" s="635"/>
      <c r="AB115" s="367"/>
      <c r="AD115" s="367"/>
      <c r="AE115" s="473"/>
      <c r="AF115" s="473"/>
      <c r="AG115" s="367"/>
      <c r="AH115" s="367"/>
    </row>
    <row r="116" spans="1:34" ht="6" customHeight="1">
      <c r="A116" s="317"/>
      <c r="B116" s="310"/>
      <c r="C116" s="306"/>
      <c r="D116" s="306"/>
      <c r="E116" s="306"/>
      <c r="F116" s="306"/>
      <c r="G116" s="306"/>
      <c r="H116" s="306"/>
      <c r="I116" s="306"/>
      <c r="J116" s="331"/>
      <c r="K116" s="337"/>
      <c r="L116" s="306"/>
      <c r="M116" s="306"/>
      <c r="N116" s="306"/>
      <c r="O116" s="335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  <c r="Z116" s="335"/>
      <c r="AB116" s="367"/>
      <c r="AD116" s="367"/>
      <c r="AE116" s="473"/>
      <c r="AF116" s="473"/>
      <c r="AG116" s="367"/>
      <c r="AH116" s="367"/>
    </row>
    <row r="117" spans="1:34" ht="12.75" customHeight="1">
      <c r="A117" s="317"/>
      <c r="B117" s="328" t="s">
        <v>404</v>
      </c>
      <c r="C117" s="314"/>
      <c r="D117" s="314"/>
      <c r="E117" s="314"/>
      <c r="F117" s="314"/>
      <c r="G117" s="314"/>
      <c r="H117" s="315"/>
      <c r="I117" s="316"/>
      <c r="J117" s="323"/>
      <c r="K117" s="337"/>
      <c r="L117" s="312">
        <f>ROUND((VLOOKUP(SUM(J79:J117),TabelLøn,+L72,1)-VLOOKUP(SUM(J79:J115),TabelLøn,+L72,1))*BeskGradNyLøn,2)+ROUND(I117/12*($I$71/$M$71)*(1+PctRegNyLøn%),2)</f>
        <v>0</v>
      </c>
      <c r="M117" s="313">
        <f>L117*12</f>
        <v>0</v>
      </c>
      <c r="O117" s="335"/>
      <c r="P117" s="335"/>
      <c r="Q117" s="335"/>
      <c r="R117" s="335"/>
      <c r="S117" s="335"/>
      <c r="T117" s="335"/>
      <c r="U117" s="335"/>
      <c r="V117" s="335"/>
      <c r="W117" s="335"/>
      <c r="X117" s="335"/>
      <c r="Y117" s="335"/>
      <c r="Z117" s="335"/>
      <c r="AB117" s="367"/>
      <c r="AD117" s="367"/>
      <c r="AE117" s="473"/>
      <c r="AF117" s="473"/>
      <c r="AG117" s="367"/>
      <c r="AH117" s="367"/>
    </row>
    <row r="118" spans="1:34" ht="12.75" customHeight="1">
      <c r="A118" s="317"/>
      <c r="B118" s="328" t="s">
        <v>405</v>
      </c>
      <c r="C118" s="314"/>
      <c r="D118" s="314"/>
      <c r="E118" s="314"/>
      <c r="F118" s="314"/>
      <c r="G118" s="314"/>
      <c r="H118" s="315"/>
      <c r="I118" s="316"/>
      <c r="J118" s="421"/>
      <c r="K118" s="337"/>
      <c r="L118" s="312">
        <f>ROUND(I118/12*($I$71/$M$71)*(1+PctRegNyLøn%),2)</f>
        <v>0</v>
      </c>
      <c r="M118" s="313">
        <f>L118*12</f>
        <v>0</v>
      </c>
      <c r="O118" s="335"/>
      <c r="P118" s="335"/>
      <c r="Q118" s="335"/>
      <c r="R118" s="335"/>
      <c r="S118" s="335"/>
      <c r="T118" s="335"/>
      <c r="U118" s="335"/>
      <c r="V118" s="335"/>
      <c r="W118" s="335"/>
      <c r="X118" s="335"/>
      <c r="Y118" s="335"/>
      <c r="Z118" s="335"/>
      <c r="AB118" s="367"/>
      <c r="AD118" s="367"/>
      <c r="AE118" s="473"/>
      <c r="AF118" s="473"/>
      <c r="AG118" s="367"/>
      <c r="AH118" s="367"/>
    </row>
    <row r="119" spans="1:34" ht="6" customHeight="1">
      <c r="A119" s="317"/>
      <c r="B119" s="310"/>
      <c r="C119" s="306"/>
      <c r="D119" s="306"/>
      <c r="E119" s="306"/>
      <c r="F119" s="306"/>
      <c r="G119" s="306"/>
      <c r="H119" s="306"/>
      <c r="I119" s="306"/>
      <c r="J119" s="331"/>
      <c r="K119" s="337"/>
      <c r="L119" s="306"/>
      <c r="M119" s="306"/>
      <c r="N119" s="306"/>
      <c r="O119" s="335"/>
      <c r="P119" s="335"/>
      <c r="Q119" s="335"/>
      <c r="R119" s="335"/>
      <c r="S119" s="335"/>
      <c r="T119" s="335"/>
      <c r="U119" s="335"/>
      <c r="V119" s="335"/>
      <c r="W119" s="335"/>
      <c r="X119" s="335"/>
      <c r="Y119" s="335"/>
      <c r="Z119" s="335"/>
      <c r="AB119" s="367"/>
      <c r="AD119" s="367"/>
      <c r="AE119" s="473"/>
      <c r="AF119" s="473"/>
      <c r="AG119" s="367"/>
      <c r="AH119" s="367"/>
    </row>
    <row r="120" spans="1:34" ht="12.75" customHeight="1">
      <c r="A120" s="317"/>
      <c r="B120" s="328" t="s">
        <v>406</v>
      </c>
      <c r="C120" s="314"/>
      <c r="D120" s="314"/>
      <c r="E120" s="314"/>
      <c r="F120" s="314"/>
      <c r="G120" s="314"/>
      <c r="H120" s="315"/>
      <c r="I120" s="316"/>
      <c r="J120" s="422"/>
      <c r="K120" s="337"/>
      <c r="L120" s="312">
        <f>ROUND((VLOOKUP(SUM(J81:J120),TabelLøn,StartkolonneNyLøn,1)-VLOOKUP(SUM(J81:J117),TabelLøn,StartkolonneNyLøn,1))*BeskGradNyLøn,2)+ROUND(I120/12*($I$71/$M$71)*(1+PctRegNyLøn%),2)</f>
        <v>0</v>
      </c>
      <c r="M120" s="313">
        <f>L120*12</f>
        <v>0</v>
      </c>
      <c r="O120" s="335"/>
      <c r="P120" s="335"/>
      <c r="Q120" s="335"/>
      <c r="R120" s="335"/>
      <c r="S120" s="335"/>
      <c r="T120" s="335"/>
      <c r="U120" s="335"/>
      <c r="V120" s="335"/>
      <c r="W120" s="335"/>
      <c r="X120" s="335"/>
      <c r="Y120" s="335"/>
      <c r="Z120" s="335"/>
      <c r="AB120" s="367"/>
      <c r="AD120" s="367"/>
      <c r="AE120" s="473"/>
      <c r="AF120" s="473"/>
      <c r="AG120" s="367"/>
      <c r="AH120" s="367"/>
    </row>
    <row r="121" spans="1:34" ht="12.75" customHeight="1">
      <c r="A121" s="317"/>
      <c r="B121" s="310"/>
      <c r="C121" s="306"/>
      <c r="D121" s="306"/>
      <c r="E121" s="306"/>
      <c r="F121" s="306"/>
      <c r="G121" s="306"/>
      <c r="H121" s="306"/>
      <c r="I121" s="306"/>
      <c r="J121" s="331"/>
      <c r="K121" s="337"/>
      <c r="L121" s="306"/>
      <c r="M121" s="306"/>
      <c r="N121" s="306"/>
      <c r="O121" s="335"/>
      <c r="P121" s="335"/>
      <c r="Q121" s="335"/>
      <c r="R121" s="335"/>
      <c r="S121" s="335"/>
      <c r="T121" s="335"/>
      <c r="U121" s="335"/>
      <c r="V121" s="335"/>
      <c r="W121" s="335"/>
      <c r="X121" s="335"/>
      <c r="Y121" s="335"/>
      <c r="Z121" s="335"/>
      <c r="AB121" s="367"/>
      <c r="AD121" s="367"/>
      <c r="AE121" s="473"/>
      <c r="AF121" s="473"/>
      <c r="AG121" s="367"/>
      <c r="AH121" s="367"/>
    </row>
    <row r="122" spans="1:34" ht="12.75" customHeight="1">
      <c r="A122" s="317"/>
      <c r="B122" s="314" t="s">
        <v>411</v>
      </c>
      <c r="C122" s="320"/>
      <c r="D122" s="320"/>
      <c r="E122" s="320"/>
      <c r="F122" s="320"/>
      <c r="G122" s="320"/>
      <c r="H122" s="321"/>
      <c r="I122" s="360">
        <f>SUM(I79:I120)</f>
        <v>0</v>
      </c>
      <c r="J122" s="361">
        <f>SUM(J79:J120)</f>
        <v>0</v>
      </c>
      <c r="K122" s="337"/>
      <c r="L122" s="345">
        <f>SUM(L79:L120)</f>
        <v>0</v>
      </c>
      <c r="M122" s="313">
        <f>SUM(M79:M120)</f>
        <v>0</v>
      </c>
      <c r="Q122" s="319"/>
      <c r="R122" s="319"/>
      <c r="AB122" s="367"/>
      <c r="AD122" s="367"/>
      <c r="AE122" s="473"/>
      <c r="AF122" s="473"/>
      <c r="AG122" s="367"/>
      <c r="AH122" s="367"/>
    </row>
    <row r="123" spans="1:34" ht="6" customHeight="1">
      <c r="A123" s="317"/>
      <c r="B123" s="310"/>
      <c r="C123" s="306"/>
      <c r="D123" s="306"/>
      <c r="E123" s="306"/>
      <c r="F123" s="306"/>
      <c r="G123" s="306"/>
      <c r="H123" s="306"/>
      <c r="I123" s="306"/>
      <c r="J123" s="331"/>
      <c r="K123" s="337"/>
      <c r="L123" s="306"/>
      <c r="M123" s="306"/>
      <c r="N123" s="306"/>
      <c r="O123" s="335"/>
      <c r="P123" s="335"/>
      <c r="Q123" s="319"/>
      <c r="R123" s="319"/>
      <c r="S123" s="335"/>
      <c r="T123" s="335"/>
      <c r="U123" s="335"/>
      <c r="V123" s="335"/>
      <c r="W123" s="335"/>
      <c r="X123" s="335"/>
      <c r="Y123" s="335"/>
      <c r="Z123" s="335"/>
      <c r="AB123" s="367"/>
      <c r="AD123" s="367"/>
      <c r="AE123" s="473"/>
      <c r="AF123" s="473"/>
      <c r="AG123" s="367"/>
      <c r="AH123" s="367"/>
    </row>
    <row r="124" spans="1:34" ht="12.75" customHeight="1">
      <c r="A124" s="317"/>
      <c r="B124" s="328" t="s">
        <v>412</v>
      </c>
      <c r="C124" s="328" t="s">
        <v>22</v>
      </c>
      <c r="D124" s="310"/>
      <c r="E124" s="310"/>
      <c r="F124" s="310"/>
      <c r="G124" s="310"/>
      <c r="H124" s="310"/>
      <c r="I124" s="343"/>
      <c r="J124" s="331"/>
      <c r="K124" s="337"/>
      <c r="L124" s="312">
        <f>ROUND(VLOOKUP(J122,TabelLønninger,+M72,2)*I73/100/12*BeskGradNyLøn,2)+(I73/100*(+L80+L85+L91+L92+L93+L94+L104+L105+L106+L112+L113+L114+L115+L117+L120))</f>
        <v>0</v>
      </c>
      <c r="M124" s="313">
        <f>L124*12</f>
        <v>0</v>
      </c>
      <c r="Q124" s="319"/>
      <c r="R124" s="319"/>
      <c r="AB124" s="367"/>
      <c r="AD124" s="367"/>
      <c r="AE124" s="473"/>
      <c r="AF124" s="473"/>
      <c r="AG124" s="367"/>
      <c r="AH124" s="367"/>
    </row>
    <row r="125" spans="1:34" ht="12.75" customHeight="1">
      <c r="A125" s="317"/>
      <c r="B125" s="314" t="s">
        <v>407</v>
      </c>
      <c r="C125" s="328"/>
      <c r="D125" s="320"/>
      <c r="E125" s="320"/>
      <c r="F125" s="320"/>
      <c r="G125" s="320"/>
      <c r="H125" s="320"/>
      <c r="I125" s="343"/>
      <c r="J125" s="362"/>
      <c r="K125" s="337"/>
      <c r="L125" s="345">
        <f>SUM(L122:L124)</f>
        <v>0</v>
      </c>
      <c r="M125" s="346">
        <f>SUM(M122:M124)</f>
        <v>0</v>
      </c>
      <c r="Q125" s="322"/>
      <c r="R125" s="322"/>
      <c r="AB125" s="367"/>
      <c r="AD125" s="367"/>
      <c r="AE125" s="473"/>
      <c r="AF125" s="473"/>
      <c r="AG125" s="367"/>
      <c r="AH125" s="367"/>
    </row>
    <row r="126" spans="1:34" ht="12.75" customHeight="1">
      <c r="A126" s="317"/>
      <c r="B126" s="314"/>
      <c r="C126" s="328"/>
      <c r="D126" s="320"/>
      <c r="E126" s="320"/>
      <c r="F126" s="320"/>
      <c r="G126" s="320"/>
      <c r="H126" s="320"/>
      <c r="I126" s="343"/>
      <c r="J126" s="362"/>
      <c r="K126" s="337"/>
      <c r="L126" s="363"/>
      <c r="M126" s="363"/>
      <c r="Q126" s="322"/>
      <c r="R126" s="322"/>
      <c r="AB126" s="367"/>
      <c r="AD126" s="367"/>
      <c r="AE126" s="473"/>
      <c r="AF126" s="473"/>
      <c r="AG126" s="367"/>
      <c r="AH126" s="367"/>
    </row>
    <row r="127" spans="1:34" ht="12" customHeight="1">
      <c r="A127" s="317"/>
      <c r="AB127" s="367"/>
      <c r="AD127" s="367"/>
      <c r="AE127" s="473"/>
      <c r="AF127" s="473"/>
      <c r="AG127" s="367"/>
      <c r="AH127" s="367"/>
    </row>
    <row r="128" spans="1:34" ht="12" customHeight="1">
      <c r="A128" s="395"/>
      <c r="B128" s="377"/>
      <c r="C128" s="676" t="s">
        <v>730</v>
      </c>
      <c r="D128" s="676"/>
      <c r="E128" s="676"/>
      <c r="F128" s="676"/>
      <c r="G128" s="676"/>
      <c r="H128" s="676"/>
      <c r="I128" s="676"/>
      <c r="J128" s="676"/>
      <c r="K128" s="676"/>
      <c r="L128" s="676"/>
      <c r="M128" s="676"/>
      <c r="N128" s="676"/>
      <c r="O128" s="676"/>
      <c r="P128" s="676"/>
      <c r="Q128" s="676"/>
      <c r="R128" s="676"/>
      <c r="S128" s="676"/>
      <c r="T128" s="676"/>
      <c r="U128" s="676"/>
      <c r="V128" s="676"/>
      <c r="W128" s="676"/>
      <c r="X128" s="676"/>
      <c r="Y128" s="676"/>
      <c r="Z128" s="377"/>
      <c r="AA128" s="378"/>
      <c r="AB128" s="367"/>
      <c r="AD128" s="367"/>
      <c r="AE128" s="473"/>
      <c r="AF128" s="473"/>
      <c r="AG128" s="367"/>
      <c r="AH128" s="367"/>
    </row>
    <row r="129" spans="1:34" ht="12" customHeight="1">
      <c r="A129" s="396"/>
      <c r="B129" s="306"/>
      <c r="C129" s="677"/>
      <c r="D129" s="677"/>
      <c r="E129" s="677"/>
      <c r="F129" s="677"/>
      <c r="G129" s="677"/>
      <c r="H129" s="677"/>
      <c r="I129" s="677"/>
      <c r="J129" s="677"/>
      <c r="K129" s="677"/>
      <c r="L129" s="677"/>
      <c r="M129" s="677"/>
      <c r="N129" s="677"/>
      <c r="O129" s="677"/>
      <c r="P129" s="677"/>
      <c r="Q129" s="677"/>
      <c r="R129" s="677"/>
      <c r="S129" s="677"/>
      <c r="T129" s="677"/>
      <c r="U129" s="677"/>
      <c r="V129" s="677"/>
      <c r="W129" s="677"/>
      <c r="X129" s="677"/>
      <c r="Y129" s="677"/>
      <c r="Z129" s="306"/>
      <c r="AA129" s="384"/>
      <c r="AB129" s="367"/>
      <c r="AD129" s="367"/>
      <c r="AE129" s="473"/>
      <c r="AF129" s="473"/>
      <c r="AG129" s="367"/>
      <c r="AH129" s="367"/>
    </row>
    <row r="130" spans="1:34" ht="12" customHeight="1">
      <c r="A130" s="396"/>
      <c r="B130" s="306"/>
      <c r="C130" s="306"/>
      <c r="D130" s="306"/>
      <c r="E130" s="306"/>
      <c r="F130" s="306"/>
      <c r="G130" s="306"/>
      <c r="H130" s="306"/>
      <c r="I130" s="306"/>
      <c r="J130" s="331"/>
      <c r="K130" s="331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84"/>
      <c r="AB130" s="367"/>
      <c r="AD130" s="367"/>
      <c r="AE130" s="473"/>
      <c r="AF130" s="473"/>
      <c r="AG130" s="367"/>
      <c r="AH130" s="367"/>
    </row>
    <row r="131" spans="1:34" ht="12.75" customHeight="1">
      <c r="A131" s="379"/>
      <c r="B131" s="306"/>
      <c r="C131" s="403" t="s">
        <v>427</v>
      </c>
      <c r="D131" s="306"/>
      <c r="E131" s="306"/>
      <c r="F131" s="306"/>
      <c r="G131" s="306"/>
      <c r="H131" s="306"/>
      <c r="I131" s="306"/>
      <c r="J131" s="331"/>
      <c r="K131" s="331"/>
      <c r="L131" s="407">
        <f>+L52-L122</f>
        <v>0</v>
      </c>
      <c r="M131" s="403" t="s">
        <v>430</v>
      </c>
      <c r="N131" s="403"/>
      <c r="O131" s="405"/>
      <c r="P131" s="405"/>
      <c r="Q131" s="405"/>
      <c r="R131" s="673">
        <f>+L131*12</f>
        <v>0</v>
      </c>
      <c r="S131" s="673"/>
      <c r="T131" s="673"/>
      <c r="U131" s="673"/>
      <c r="V131" s="405"/>
      <c r="W131" s="405" t="s">
        <v>431</v>
      </c>
      <c r="X131" s="405"/>
      <c r="Y131" s="405"/>
      <c r="Z131" s="306"/>
      <c r="AA131" s="384"/>
      <c r="AB131" s="367"/>
      <c r="AD131" s="367"/>
      <c r="AE131" s="473"/>
      <c r="AF131" s="473"/>
      <c r="AG131" s="367"/>
      <c r="AH131" s="367"/>
    </row>
    <row r="132" spans="1:34" ht="6.75" customHeight="1">
      <c r="A132" s="379"/>
      <c r="B132" s="306"/>
      <c r="C132" s="403"/>
      <c r="D132" s="306"/>
      <c r="E132" s="306"/>
      <c r="F132" s="306"/>
      <c r="G132" s="306"/>
      <c r="H132" s="306"/>
      <c r="I132" s="306"/>
      <c r="J132" s="331"/>
      <c r="K132" s="331"/>
      <c r="L132" s="405"/>
      <c r="M132" s="405"/>
      <c r="N132" s="405"/>
      <c r="O132" s="405"/>
      <c r="P132" s="405"/>
      <c r="Q132" s="405"/>
      <c r="R132" s="406"/>
      <c r="S132" s="406"/>
      <c r="T132" s="406"/>
      <c r="U132" s="406"/>
      <c r="V132" s="405"/>
      <c r="W132" s="405"/>
      <c r="X132" s="405"/>
      <c r="Y132" s="405"/>
      <c r="Z132" s="306"/>
      <c r="AA132" s="384"/>
      <c r="AB132" s="367"/>
      <c r="AD132" s="367"/>
      <c r="AE132" s="473"/>
      <c r="AF132" s="473"/>
      <c r="AG132" s="367"/>
      <c r="AH132" s="367"/>
    </row>
    <row r="133" spans="1:34" s="353" customFormat="1" ht="12.75" customHeight="1">
      <c r="A133" s="397"/>
      <c r="B133" s="306"/>
      <c r="C133" s="403" t="s">
        <v>428</v>
      </c>
      <c r="D133" s="306"/>
      <c r="E133" s="306"/>
      <c r="F133" s="306"/>
      <c r="G133" s="306"/>
      <c r="H133" s="306"/>
      <c r="I133" s="306"/>
      <c r="J133" s="331"/>
      <c r="K133" s="331"/>
      <c r="L133" s="404">
        <f>+L54-L124</f>
        <v>0</v>
      </c>
      <c r="M133" s="405" t="s">
        <v>430</v>
      </c>
      <c r="N133" s="405"/>
      <c r="O133" s="405"/>
      <c r="P133" s="405"/>
      <c r="Q133" s="405"/>
      <c r="R133" s="673">
        <f>+L133*12</f>
        <v>0</v>
      </c>
      <c r="S133" s="673"/>
      <c r="T133" s="673"/>
      <c r="U133" s="673"/>
      <c r="V133" s="405"/>
      <c r="W133" s="405" t="s">
        <v>431</v>
      </c>
      <c r="X133" s="405"/>
      <c r="Y133" s="405"/>
      <c r="Z133" s="306"/>
      <c r="AA133" s="398"/>
      <c r="AB133" s="369"/>
      <c r="AC133" s="469"/>
      <c r="AD133" s="369"/>
      <c r="AE133" s="475"/>
      <c r="AF133" s="475"/>
      <c r="AG133" s="369"/>
      <c r="AH133" s="369"/>
    </row>
    <row r="134" spans="1:34" ht="21" customHeight="1">
      <c r="A134" s="379"/>
      <c r="B134" s="306"/>
      <c r="C134" s="403" t="s">
        <v>429</v>
      </c>
      <c r="D134" s="306"/>
      <c r="E134" s="306"/>
      <c r="F134" s="306"/>
      <c r="G134" s="306"/>
      <c r="H134" s="306"/>
      <c r="I134" s="306"/>
      <c r="J134" s="331"/>
      <c r="K134" s="331"/>
      <c r="L134" s="404">
        <f>+L55-L125</f>
        <v>0</v>
      </c>
      <c r="M134" s="405" t="s">
        <v>430</v>
      </c>
      <c r="N134" s="405"/>
      <c r="O134" s="405"/>
      <c r="P134" s="405"/>
      <c r="Q134" s="405"/>
      <c r="R134" s="674">
        <f>+L134*12</f>
        <v>0</v>
      </c>
      <c r="S134" s="674"/>
      <c r="T134" s="674"/>
      <c r="U134" s="674"/>
      <c r="V134" s="403"/>
      <c r="W134" s="403" t="s">
        <v>431</v>
      </c>
      <c r="X134" s="403"/>
      <c r="Y134" s="403"/>
      <c r="Z134" s="306"/>
      <c r="AA134" s="384"/>
      <c r="AB134" s="367"/>
      <c r="AD134" s="367"/>
      <c r="AE134" s="473"/>
      <c r="AF134" s="473"/>
      <c r="AG134" s="367"/>
      <c r="AH134" s="367"/>
    </row>
    <row r="135" spans="1:34" ht="17.25" customHeight="1">
      <c r="A135" s="399"/>
      <c r="B135" s="400"/>
      <c r="C135" s="400"/>
      <c r="D135" s="400"/>
      <c r="E135" s="400"/>
      <c r="F135" s="400"/>
      <c r="G135" s="400"/>
      <c r="H135" s="400"/>
      <c r="I135" s="400"/>
      <c r="J135" s="401"/>
      <c r="K135" s="401"/>
      <c r="L135" s="400"/>
      <c r="M135" s="400"/>
      <c r="N135" s="400"/>
      <c r="O135" s="400"/>
      <c r="P135" s="400"/>
      <c r="Q135" s="400"/>
      <c r="R135" s="400"/>
      <c r="S135" s="400"/>
      <c r="T135" s="400"/>
      <c r="U135" s="400"/>
      <c r="V135" s="400"/>
      <c r="W135" s="400"/>
      <c r="X135" s="400"/>
      <c r="Y135" s="400"/>
      <c r="Z135" s="400"/>
      <c r="AA135" s="402"/>
      <c r="AB135" s="367"/>
      <c r="AD135" s="367"/>
      <c r="AE135" s="473"/>
      <c r="AF135" s="473"/>
      <c r="AG135" s="367"/>
      <c r="AH135" s="367"/>
    </row>
  </sheetData>
  <sheetProtection password="CF28" sheet="1" objects="1" scenarios="1"/>
  <mergeCells count="102">
    <mergeCell ref="B65:I65"/>
    <mergeCell ref="O64:Z64"/>
    <mergeCell ref="J64:N64"/>
    <mergeCell ref="O63:P63"/>
    <mergeCell ref="L63:N63"/>
    <mergeCell ref="AE4:AF6"/>
    <mergeCell ref="O26:Z26"/>
    <mergeCell ref="O27:Z27"/>
    <mergeCell ref="AC56:AF57"/>
    <mergeCell ref="O101:Z101"/>
    <mergeCell ref="O36:Z37"/>
    <mergeCell ref="AC4:AC5"/>
    <mergeCell ref="AC7:AC8"/>
    <mergeCell ref="O42:Z42"/>
    <mergeCell ref="O44:Z44"/>
    <mergeCell ref="O85:Z85"/>
    <mergeCell ref="S73:Z73"/>
    <mergeCell ref="U75:Y75"/>
    <mergeCell ref="AE7:AF9"/>
    <mergeCell ref="N81:AA82"/>
    <mergeCell ref="O92:Z92"/>
    <mergeCell ref="O96:Z96"/>
    <mergeCell ref="O90:Z90"/>
    <mergeCell ref="O34:Z34"/>
    <mergeCell ref="O87:Z87"/>
    <mergeCell ref="O32:Z32"/>
    <mergeCell ref="O91:Z91"/>
    <mergeCell ref="O31:Z31"/>
    <mergeCell ref="AC65:AF65"/>
    <mergeCell ref="P15:Y19"/>
    <mergeCell ref="N98:AA99"/>
    <mergeCell ref="O106:Z106"/>
    <mergeCell ref="O40:Z40"/>
    <mergeCell ref="O41:Z41"/>
    <mergeCell ref="R134:U134"/>
    <mergeCell ref="R6:Y6"/>
    <mergeCell ref="R11:Y11"/>
    <mergeCell ref="U12:Y12"/>
    <mergeCell ref="R12:S12"/>
    <mergeCell ref="O109:Z109"/>
    <mergeCell ref="C128:Y129"/>
    <mergeCell ref="P76:Y80"/>
    <mergeCell ref="K73:L73"/>
    <mergeCell ref="O115:Z115"/>
    <mergeCell ref="O20:Z21"/>
    <mergeCell ref="O23:Z23"/>
    <mergeCell ref="O24:Z24"/>
    <mergeCell ref="O97:Z97"/>
    <mergeCell ref="O93:Z93"/>
    <mergeCell ref="O94:Z94"/>
    <mergeCell ref="O88:Z88"/>
    <mergeCell ref="R63:Z63"/>
    <mergeCell ref="B64:I64"/>
    <mergeCell ref="I70:M70"/>
    <mergeCell ref="O89:Z89"/>
    <mergeCell ref="A69:M69"/>
    <mergeCell ref="O67:Z68"/>
    <mergeCell ref="O84:Z84"/>
    <mergeCell ref="R133:U133"/>
    <mergeCell ref="O102:Z102"/>
    <mergeCell ref="R131:U131"/>
    <mergeCell ref="O104:Z104"/>
    <mergeCell ref="O105:Z105"/>
    <mergeCell ref="O110:Z110"/>
    <mergeCell ref="O113:Z113"/>
    <mergeCell ref="O112:Z112"/>
    <mergeCell ref="O111:Z111"/>
    <mergeCell ref="O103:Z103"/>
    <mergeCell ref="O114:Z114"/>
    <mergeCell ref="O108:Z108"/>
    <mergeCell ref="B2:M2"/>
    <mergeCell ref="U14:Y14"/>
    <mergeCell ref="I6:M6"/>
    <mergeCell ref="I10:L10"/>
    <mergeCell ref="R7:Y8"/>
    <mergeCell ref="O1:Z2"/>
    <mergeCell ref="A3:M3"/>
    <mergeCell ref="I4:M4"/>
    <mergeCell ref="C8:H9"/>
    <mergeCell ref="R9:Y10"/>
    <mergeCell ref="K12:L12"/>
    <mergeCell ref="U4:Y4"/>
    <mergeCell ref="I5:M5"/>
    <mergeCell ref="I8:M9"/>
    <mergeCell ref="P8:P9"/>
    <mergeCell ref="O28:Z28"/>
    <mergeCell ref="O29:Z29"/>
    <mergeCell ref="O30:Z30"/>
    <mergeCell ref="AE52:AF53"/>
    <mergeCell ref="O39:Z39"/>
    <mergeCell ref="AC63:AF63"/>
    <mergeCell ref="AC64:AF64"/>
    <mergeCell ref="O35:Z35"/>
    <mergeCell ref="O45:Z45"/>
    <mergeCell ref="O46:Z46"/>
    <mergeCell ref="O47:Z47"/>
    <mergeCell ref="O48:Z48"/>
    <mergeCell ref="O49:Z49"/>
    <mergeCell ref="O50:Z50"/>
    <mergeCell ref="B57:Z60"/>
    <mergeCell ref="B63:D63"/>
    <mergeCell ref="E63:I63"/>
  </mergeCells>
  <conditionalFormatting sqref="C54:C56 B52 B124:C126 B54:B57 B117:H118 B120:H120 B122">
    <cfRule type="cellIs" dxfId="1" priority="20" stopIfTrue="1" operator="equal">
      <formula>"Fejl! Udfyld ENTEN kr.beløb ELLER Trin"</formula>
    </cfRule>
  </conditionalFormatting>
  <conditionalFormatting sqref="B72:I72 B11:I11">
    <cfRule type="cellIs" dxfId="0" priority="21" stopIfTrue="1" operator="notEqual">
      <formula>"Lønkode"</formula>
    </cfRule>
  </conditionalFormatting>
  <pageMargins left="0.31496062992125984" right="0.31496062992125984" top="0.39370078740157483" bottom="0.39370078740157483" header="0.39370078740157483" footer="0.39370078740157483"/>
  <pageSetup paperSize="9" scale="90" orientation="portrait" blackAndWhite="1" horizontalDpi="4294967292" r:id="rId1"/>
  <headerFooter alignWithMargins="0">
    <oddFooter>&amp;CSide &amp;P af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Ark4"/>
  <dimension ref="A1:AK145"/>
  <sheetViews>
    <sheetView showRuler="0" zoomScale="85" zoomScaleNormal="85" zoomScalePageLayoutView="85" workbookViewId="0">
      <selection activeCell="AS116" sqref="AS116"/>
    </sheetView>
  </sheetViews>
  <sheetFormatPr defaultRowHeight="13.5"/>
  <cols>
    <col min="1" max="1" width="2.33203125" style="304" customWidth="1"/>
    <col min="2" max="2" width="1.5" style="304" customWidth="1"/>
    <col min="3" max="7" width="4.5" style="304" customWidth="1"/>
    <col min="8" max="8" width="11.33203125" style="304" customWidth="1"/>
    <col min="9" max="9" width="10.83203125" style="304" customWidth="1"/>
    <col min="10" max="10" width="6.1640625" style="333" customWidth="1"/>
    <col min="11" max="11" width="1.5" style="333" customWidth="1"/>
    <col min="12" max="12" width="12" style="304" customWidth="1"/>
    <col min="13" max="13" width="13.83203125" style="304" customWidth="1"/>
    <col min="14" max="14" width="1.33203125" style="304" customWidth="1"/>
    <col min="15" max="15" width="3.1640625" style="304" customWidth="1"/>
    <col min="16" max="19" width="2.6640625" style="304" customWidth="1"/>
    <col min="20" max="20" width="5" style="304" customWidth="1"/>
    <col min="21" max="21" width="1.83203125" style="304" customWidth="1"/>
    <col min="22" max="25" width="2.6640625" style="304" customWidth="1"/>
    <col min="26" max="26" width="4.1640625" style="304" customWidth="1"/>
    <col min="27" max="27" width="1.6640625" style="304" customWidth="1"/>
    <col min="28" max="28" width="2" style="446" customWidth="1"/>
    <col min="29" max="29" width="27.33203125" style="433" hidden="1" customWidth="1"/>
    <col min="30" max="30" width="3.6640625" style="433" hidden="1" customWidth="1"/>
    <col min="31" max="31" width="9.6640625" style="433" hidden="1" customWidth="1"/>
    <col min="32" max="32" width="71" style="433" hidden="1" customWidth="1"/>
    <col min="33" max="34" width="9.33203125" style="304" hidden="1" customWidth="1"/>
    <col min="35" max="16384" width="9.33203125" style="304"/>
  </cols>
  <sheetData>
    <row r="1" spans="1:37" ht="12.75" customHeight="1">
      <c r="A1" s="303"/>
      <c r="B1" s="303"/>
      <c r="L1" s="305"/>
      <c r="M1" s="611" t="s">
        <v>10</v>
      </c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550"/>
      <c r="AE1" s="452"/>
      <c r="AF1" s="450"/>
      <c r="AG1" s="371"/>
      <c r="AH1" s="371"/>
      <c r="AI1" s="371"/>
      <c r="AJ1" s="371"/>
      <c r="AK1" s="371"/>
    </row>
    <row r="2" spans="1:37" ht="19.5" customHeight="1">
      <c r="A2" s="341"/>
      <c r="B2" s="491" t="s">
        <v>424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550"/>
      <c r="AC2" s="434" t="s">
        <v>440</v>
      </c>
      <c r="AE2" s="452"/>
      <c r="AF2" s="450"/>
      <c r="AG2" s="367"/>
      <c r="AH2" s="367"/>
    </row>
    <row r="3" spans="1:37" ht="13.5" customHeight="1">
      <c r="A3" s="652"/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O3" s="376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8"/>
      <c r="AG3" s="367"/>
      <c r="AH3" s="367"/>
    </row>
    <row r="4" spans="1:37" ht="12.75" customHeight="1">
      <c r="A4" s="317"/>
      <c r="B4" s="641" t="s">
        <v>66</v>
      </c>
      <c r="C4" s="641"/>
      <c r="D4" s="641"/>
      <c r="E4" s="641"/>
      <c r="F4" s="641"/>
      <c r="G4" s="641"/>
      <c r="H4" s="318"/>
      <c r="I4" s="633"/>
      <c r="J4" s="634"/>
      <c r="K4" s="634"/>
      <c r="L4" s="634"/>
      <c r="M4" s="635"/>
      <c r="O4" s="379"/>
      <c r="P4" s="479" t="s">
        <v>171</v>
      </c>
      <c r="Q4" s="479"/>
      <c r="R4" s="306"/>
      <c r="S4" s="306"/>
      <c r="T4" s="306"/>
      <c r="U4" s="625"/>
      <c r="V4" s="626"/>
      <c r="W4" s="626"/>
      <c r="X4" s="626"/>
      <c r="Y4" s="627"/>
      <c r="Z4" s="332"/>
      <c r="AC4" s="636" t="s">
        <v>441</v>
      </c>
      <c r="AD4" s="436"/>
      <c r="AE4" s="631" t="e">
        <f>+VLOOKUP(U13,Vejledning!A:C,2,1)</f>
        <v>#N/A</v>
      </c>
      <c r="AF4" s="631"/>
      <c r="AG4" s="367"/>
      <c r="AH4" s="367"/>
    </row>
    <row r="5" spans="1:37" ht="12.75" customHeight="1">
      <c r="A5" s="317"/>
      <c r="B5" s="641" t="s">
        <v>88</v>
      </c>
      <c r="C5" s="641"/>
      <c r="D5" s="641"/>
      <c r="E5" s="641"/>
      <c r="F5" s="641"/>
      <c r="G5" s="641"/>
      <c r="H5" s="318"/>
      <c r="I5" s="633"/>
      <c r="J5" s="634"/>
      <c r="K5" s="634"/>
      <c r="L5" s="634"/>
      <c r="M5" s="635"/>
      <c r="O5" s="379"/>
      <c r="P5" s="306"/>
      <c r="Q5" s="306"/>
      <c r="R5" s="306"/>
      <c r="S5" s="306"/>
      <c r="T5" s="306"/>
      <c r="U5" s="306"/>
      <c r="V5" s="331"/>
      <c r="W5" s="331"/>
      <c r="X5" s="331"/>
      <c r="Y5" s="331"/>
      <c r="Z5" s="332"/>
      <c r="AC5" s="636"/>
      <c r="AD5" s="436"/>
      <c r="AE5" s="631"/>
      <c r="AF5" s="631"/>
      <c r="AG5" s="367"/>
      <c r="AH5" s="367"/>
    </row>
    <row r="6" spans="1:37" ht="12.75" customHeight="1">
      <c r="A6" s="317"/>
      <c r="B6" s="641" t="s">
        <v>89</v>
      </c>
      <c r="C6" s="641"/>
      <c r="D6" s="641"/>
      <c r="E6" s="641"/>
      <c r="F6" s="641"/>
      <c r="G6" s="641"/>
      <c r="H6" s="318"/>
      <c r="I6" s="633"/>
      <c r="J6" s="634"/>
      <c r="K6" s="634"/>
      <c r="L6" s="634"/>
      <c r="M6" s="635"/>
      <c r="O6" s="379"/>
      <c r="P6" s="430"/>
      <c r="Q6" s="306"/>
      <c r="R6" s="632" t="s">
        <v>697</v>
      </c>
      <c r="S6" s="632"/>
      <c r="T6" s="632"/>
      <c r="U6" s="632"/>
      <c r="V6" s="632"/>
      <c r="W6" s="632"/>
      <c r="X6" s="632"/>
      <c r="Y6" s="632"/>
      <c r="Z6" s="409"/>
      <c r="AC6" s="436"/>
      <c r="AD6" s="436"/>
      <c r="AE6" s="631"/>
      <c r="AF6" s="631"/>
      <c r="AG6" s="367"/>
      <c r="AH6" s="367"/>
    </row>
    <row r="7" spans="1:37" ht="12.75" customHeight="1">
      <c r="A7" s="317"/>
      <c r="B7" s="477" t="s">
        <v>409</v>
      </c>
      <c r="C7" s="477"/>
      <c r="D7" s="477"/>
      <c r="E7" s="477"/>
      <c r="F7" s="477"/>
      <c r="G7" s="477"/>
      <c r="H7" s="318"/>
      <c r="I7" s="324">
        <v>37</v>
      </c>
      <c r="J7" s="354"/>
      <c r="K7" s="423"/>
      <c r="L7" s="414" t="s">
        <v>410</v>
      </c>
      <c r="M7" s="356">
        <v>37</v>
      </c>
      <c r="N7" s="355">
        <f>I7/MAX(M7,1)</f>
        <v>1</v>
      </c>
      <c r="O7" s="379"/>
      <c r="P7" s="357"/>
      <c r="Q7" s="357"/>
      <c r="R7" s="658" t="s">
        <v>698</v>
      </c>
      <c r="S7" s="659"/>
      <c r="T7" s="659"/>
      <c r="U7" s="659"/>
      <c r="V7" s="659"/>
      <c r="W7" s="659"/>
      <c r="X7" s="659"/>
      <c r="Y7" s="659"/>
      <c r="Z7" s="381"/>
      <c r="AC7" s="637" t="s">
        <v>442</v>
      </c>
      <c r="AD7" s="436"/>
      <c r="AE7" s="624" t="e">
        <f>+VLOOKUP(U13,Vejledning!A:AP,3,1)</f>
        <v>#N/A</v>
      </c>
      <c r="AF7" s="624"/>
      <c r="AG7" s="367"/>
      <c r="AH7" s="367"/>
    </row>
    <row r="8" spans="1:37" ht="12.75" customHeight="1">
      <c r="A8" s="317"/>
      <c r="B8" s="641" t="s">
        <v>233</v>
      </c>
      <c r="C8" s="641"/>
      <c r="D8" s="641"/>
      <c r="E8" s="641"/>
      <c r="F8" s="641"/>
      <c r="G8" s="641"/>
      <c r="H8" s="318"/>
      <c r="I8" s="633"/>
      <c r="J8" s="634"/>
      <c r="K8" s="634"/>
      <c r="L8" s="634"/>
      <c r="M8" s="635"/>
      <c r="O8" s="379"/>
      <c r="P8" s="430"/>
      <c r="Q8" s="306"/>
      <c r="R8" s="632" t="s">
        <v>423</v>
      </c>
      <c r="S8" s="632"/>
      <c r="T8" s="632"/>
      <c r="U8" s="632"/>
      <c r="V8" s="632"/>
      <c r="W8" s="632"/>
      <c r="X8" s="632"/>
      <c r="Y8" s="632"/>
      <c r="Z8" s="409"/>
      <c r="AC8" s="637"/>
      <c r="AD8" s="437"/>
      <c r="AE8" s="624"/>
      <c r="AF8" s="624"/>
      <c r="AG8" s="370"/>
      <c r="AH8" s="370"/>
    </row>
    <row r="9" spans="1:37" ht="12.75" customHeight="1">
      <c r="A9" s="317"/>
      <c r="B9" s="641" t="s">
        <v>92</v>
      </c>
      <c r="C9" s="641"/>
      <c r="D9" s="641"/>
      <c r="E9" s="641"/>
      <c r="F9" s="641"/>
      <c r="G9" s="641"/>
      <c r="H9" s="318"/>
      <c r="I9" s="628"/>
      <c r="J9" s="629"/>
      <c r="K9" s="629"/>
      <c r="L9" s="630"/>
      <c r="M9" s="326"/>
      <c r="O9" s="379"/>
      <c r="P9" s="357"/>
      <c r="Q9" s="357"/>
      <c r="R9" s="411"/>
      <c r="S9" s="372"/>
      <c r="T9" s="372"/>
      <c r="U9" s="372"/>
      <c r="V9" s="372"/>
      <c r="W9" s="372"/>
      <c r="X9" s="372"/>
      <c r="Y9" s="372"/>
      <c r="Z9" s="381"/>
      <c r="AC9" s="435"/>
      <c r="AD9" s="437"/>
      <c r="AE9" s="624"/>
      <c r="AF9" s="624"/>
      <c r="AG9" s="370"/>
      <c r="AH9" s="370"/>
    </row>
    <row r="10" spans="1:37" ht="12.75" customHeight="1">
      <c r="A10" s="317"/>
      <c r="B10" s="359"/>
      <c r="C10" s="314"/>
      <c r="D10" s="314"/>
      <c r="E10" s="314"/>
      <c r="F10" s="314"/>
      <c r="G10" s="314"/>
      <c r="H10" s="314"/>
      <c r="I10" s="478">
        <f>+IF(+U13=7101,4,+IF(+U13=7001,3,+IF(+U13=3101,1,0)))</f>
        <v>0</v>
      </c>
      <c r="J10" s="335"/>
      <c r="K10" s="335"/>
      <c r="L10" s="340"/>
      <c r="M10" s="306"/>
      <c r="O10" s="379"/>
      <c r="P10" s="306"/>
      <c r="Q10" s="306"/>
      <c r="R10" s="640"/>
      <c r="S10" s="640"/>
      <c r="T10" s="640"/>
      <c r="U10" s="640"/>
      <c r="V10" s="640"/>
      <c r="W10" s="640"/>
      <c r="X10" s="640"/>
      <c r="Y10" s="640"/>
      <c r="Z10" s="409"/>
      <c r="AA10" s="325"/>
      <c r="AC10" s="435"/>
      <c r="AD10" s="436"/>
      <c r="AE10" s="439" t="s">
        <v>388</v>
      </c>
      <c r="AF10" s="438"/>
      <c r="AG10" s="370"/>
      <c r="AH10" s="370"/>
    </row>
    <row r="11" spans="1:37" ht="12.75" customHeight="1">
      <c r="A11" s="317"/>
      <c r="B11" s="653" t="s">
        <v>270</v>
      </c>
      <c r="C11" s="653"/>
      <c r="D11" s="653"/>
      <c r="E11" s="653"/>
      <c r="F11" s="653"/>
      <c r="G11" s="314"/>
      <c r="H11" s="315"/>
      <c r="I11" s="324"/>
      <c r="J11" s="339" t="s">
        <v>389</v>
      </c>
      <c r="K11" s="451"/>
      <c r="L11" s="347" t="s">
        <v>727</v>
      </c>
      <c r="M11" s="348">
        <f>VLOOKUP(LønkodeNyLøn,TabelPctReg,2)</f>
        <v>31.779800000000002</v>
      </c>
      <c r="O11" s="379"/>
      <c r="P11" s="306"/>
      <c r="Q11" s="357"/>
      <c r="R11" s="672"/>
      <c r="S11" s="672"/>
      <c r="T11" s="672"/>
      <c r="U11" s="672"/>
      <c r="V11" s="672"/>
      <c r="W11" s="672"/>
      <c r="X11" s="672"/>
      <c r="Y11" s="672"/>
      <c r="Z11" s="410"/>
      <c r="AC11" s="613" t="e">
        <f>+VLOOKUP(U13,Vejledning!A:D,4,1)</f>
        <v>#N/A</v>
      </c>
      <c r="AD11" s="613"/>
      <c r="AE11" s="624" t="e">
        <f>+VLOOKUP(U13,Vejledning!A:AP,5,1)</f>
        <v>#N/A</v>
      </c>
      <c r="AF11" s="624"/>
      <c r="AG11" s="367"/>
      <c r="AH11" s="367"/>
    </row>
    <row r="12" spans="1:37" ht="12.75" customHeight="1">
      <c r="A12" s="306"/>
      <c r="B12" s="455"/>
      <c r="C12" s="455"/>
      <c r="D12" s="455"/>
      <c r="E12" s="455"/>
      <c r="F12" s="455"/>
      <c r="G12" s="455"/>
      <c r="O12" s="382"/>
      <c r="P12" s="366"/>
      <c r="Q12" s="366"/>
      <c r="R12" s="357"/>
      <c r="S12" s="357"/>
      <c r="T12" s="357"/>
      <c r="U12" s="357"/>
      <c r="V12" s="357"/>
      <c r="W12" s="357"/>
      <c r="X12" s="357"/>
      <c r="Y12" s="357"/>
      <c r="Z12" s="383"/>
      <c r="AC12" s="437"/>
      <c r="AD12" s="436"/>
      <c r="AE12" s="438"/>
      <c r="AG12" s="367"/>
      <c r="AH12" s="367"/>
    </row>
    <row r="13" spans="1:37" ht="12" customHeight="1">
      <c r="A13" s="307"/>
      <c r="B13" s="655" t="s">
        <v>710</v>
      </c>
      <c r="C13" s="655"/>
      <c r="D13" s="655"/>
      <c r="E13" s="655"/>
      <c r="F13" s="655"/>
      <c r="G13" s="455"/>
      <c r="H13" s="307"/>
      <c r="I13" s="337" t="s">
        <v>162</v>
      </c>
      <c r="J13" s="337" t="s">
        <v>21</v>
      </c>
      <c r="K13" s="337"/>
      <c r="L13" s="337" t="s">
        <v>234</v>
      </c>
      <c r="M13" s="351" t="s">
        <v>235</v>
      </c>
      <c r="N13" s="308"/>
      <c r="O13" s="570" t="s">
        <v>408</v>
      </c>
      <c r="P13" s="306"/>
      <c r="Q13" s="350"/>
      <c r="R13" s="349"/>
      <c r="S13" s="349"/>
      <c r="T13" s="349"/>
      <c r="U13" s="660"/>
      <c r="V13" s="661"/>
      <c r="W13" s="661"/>
      <c r="X13" s="661"/>
      <c r="Y13" s="662"/>
      <c r="Z13" s="383"/>
      <c r="AC13" s="613" t="e">
        <f>+VLOOKUP(U13,Vejledning!A:AP,6,1)</f>
        <v>#N/A</v>
      </c>
      <c r="AD13" s="613"/>
      <c r="AE13" s="624" t="e">
        <f>+VLOOKUP(U13,Vejledning!A:AP,7,1)</f>
        <v>#N/A</v>
      </c>
      <c r="AF13" s="624"/>
      <c r="AG13" s="368"/>
      <c r="AH13" s="368"/>
    </row>
    <row r="14" spans="1:37" ht="11.25" customHeight="1">
      <c r="A14" s="309"/>
      <c r="B14" s="655"/>
      <c r="C14" s="655"/>
      <c r="D14" s="655"/>
      <c r="E14" s="655"/>
      <c r="F14" s="655"/>
      <c r="G14" s="454"/>
      <c r="H14" s="309"/>
      <c r="I14" s="337" t="s">
        <v>163</v>
      </c>
      <c r="J14" s="337" t="s">
        <v>123</v>
      </c>
      <c r="K14" s="337"/>
      <c r="L14" s="338">
        <f>Dato1</f>
        <v>42370</v>
      </c>
      <c r="M14" s="352">
        <f>Dato1</f>
        <v>42370</v>
      </c>
      <c r="N14" s="308"/>
      <c r="O14" s="379"/>
      <c r="P14" s="638" t="e">
        <f>+VLOOKUP(U13,Vejledning!1:1048576,2,1)</f>
        <v>#N/A</v>
      </c>
      <c r="Q14" s="638"/>
      <c r="R14" s="638"/>
      <c r="S14" s="638"/>
      <c r="T14" s="638"/>
      <c r="U14" s="638"/>
      <c r="V14" s="638"/>
      <c r="W14" s="638"/>
      <c r="X14" s="638"/>
      <c r="Y14" s="638"/>
      <c r="Z14" s="384"/>
      <c r="AC14" s="440"/>
      <c r="AD14" s="436"/>
      <c r="AE14" s="438"/>
      <c r="AF14" s="441"/>
      <c r="AG14" s="368"/>
      <c r="AH14" s="368"/>
    </row>
    <row r="15" spans="1:37" ht="11.25" customHeight="1">
      <c r="A15" s="310"/>
      <c r="B15" s="654" t="s">
        <v>711</v>
      </c>
      <c r="C15" s="654"/>
      <c r="D15" s="654"/>
      <c r="E15" s="654"/>
      <c r="F15" s="654"/>
      <c r="G15" s="654"/>
      <c r="H15" s="306"/>
      <c r="I15" s="338">
        <f>VLOOKUP(LønkodeNyLøn,TabelPctReg,3)</f>
        <v>36616</v>
      </c>
      <c r="J15" s="337"/>
      <c r="K15" s="337"/>
      <c r="L15" s="338" t="s">
        <v>399</v>
      </c>
      <c r="M15" s="352" t="s">
        <v>399</v>
      </c>
      <c r="N15" s="311"/>
      <c r="O15" s="385"/>
      <c r="P15" s="638"/>
      <c r="Q15" s="638"/>
      <c r="R15" s="638"/>
      <c r="S15" s="638"/>
      <c r="T15" s="638"/>
      <c r="U15" s="638"/>
      <c r="V15" s="638"/>
      <c r="W15" s="638"/>
      <c r="X15" s="638"/>
      <c r="Y15" s="638"/>
      <c r="Z15" s="390"/>
      <c r="AC15" s="613" t="e">
        <f>+VLOOKUP(U13,Vejledning!A:AP,8,1)</f>
        <v>#N/A</v>
      </c>
      <c r="AD15" s="613"/>
      <c r="AE15" s="624" t="e">
        <f>+VLOOKUP(U13,Vejledning!A:AP,9,1)</f>
        <v>#N/A</v>
      </c>
      <c r="AF15" s="624"/>
      <c r="AG15" s="368"/>
      <c r="AH15" s="368"/>
    </row>
    <row r="16" spans="1:37" ht="11.25" customHeight="1">
      <c r="A16" s="310"/>
      <c r="B16" s="654"/>
      <c r="C16" s="654"/>
      <c r="D16" s="654"/>
      <c r="E16" s="654"/>
      <c r="F16" s="654"/>
      <c r="G16" s="654"/>
      <c r="H16" s="306"/>
      <c r="I16" s="311"/>
      <c r="J16" s="334"/>
      <c r="K16" s="308"/>
      <c r="L16" s="336"/>
      <c r="M16" s="336"/>
      <c r="N16" s="311"/>
      <c r="O16" s="386"/>
      <c r="P16" s="638"/>
      <c r="Q16" s="638"/>
      <c r="R16" s="638"/>
      <c r="S16" s="638"/>
      <c r="T16" s="638"/>
      <c r="U16" s="638"/>
      <c r="V16" s="638"/>
      <c r="W16" s="638"/>
      <c r="X16" s="638"/>
      <c r="Y16" s="638"/>
      <c r="Z16" s="390"/>
      <c r="AC16" s="440"/>
      <c r="AD16" s="436"/>
      <c r="AE16" s="438"/>
      <c r="AF16" s="441"/>
      <c r="AG16" s="368"/>
      <c r="AH16" s="368"/>
    </row>
    <row r="17" spans="1:34" ht="12.75" customHeight="1">
      <c r="A17" s="317"/>
      <c r="B17" s="314" t="s">
        <v>391</v>
      </c>
      <c r="C17" s="314"/>
      <c r="D17" s="314"/>
      <c r="E17" s="314"/>
      <c r="F17" s="314"/>
      <c r="G17" s="314"/>
      <c r="H17" s="314"/>
      <c r="I17" s="417"/>
      <c r="J17" s="323"/>
      <c r="K17" s="308"/>
      <c r="L17" s="312">
        <f>ROUND(VLOOKUP(J17,TabelLøn,StartkolonneNyLøn,1)*BeskGradNyLøn,2)</f>
        <v>0</v>
      </c>
      <c r="M17" s="313">
        <f>L17*12</f>
        <v>0</v>
      </c>
      <c r="O17" s="386"/>
      <c r="P17" s="638"/>
      <c r="Q17" s="638"/>
      <c r="R17" s="638"/>
      <c r="S17" s="638"/>
      <c r="T17" s="638"/>
      <c r="U17" s="638"/>
      <c r="V17" s="638"/>
      <c r="W17" s="638"/>
      <c r="X17" s="638"/>
      <c r="Y17" s="638"/>
      <c r="Z17" s="390"/>
      <c r="AC17" s="613" t="e">
        <f>+VLOOKUP(U13,Vejledning!A:AP,10,1)</f>
        <v>#N/A</v>
      </c>
      <c r="AD17" s="613"/>
      <c r="AE17" s="624" t="e">
        <f>+VLOOKUP(U13,Vejledning!A:AP,11,1)</f>
        <v>#N/A</v>
      </c>
      <c r="AF17" s="624"/>
      <c r="AG17" s="368"/>
      <c r="AH17" s="368"/>
    </row>
    <row r="18" spans="1:34" ht="12.75" customHeight="1">
      <c r="A18" s="317"/>
      <c r="B18" s="314"/>
      <c r="C18" s="328" t="s">
        <v>390</v>
      </c>
      <c r="D18" s="314"/>
      <c r="E18" s="314"/>
      <c r="F18" s="314"/>
      <c r="G18" s="314"/>
      <c r="H18" s="315"/>
      <c r="I18" s="316"/>
      <c r="J18" s="426"/>
      <c r="K18" s="308"/>
      <c r="L18" s="312">
        <f>ROUND(I18/12*BeskGradNyLøn*(1+PctRegNyLøn%),2)</f>
        <v>0</v>
      </c>
      <c r="M18" s="313">
        <f>L18*12</f>
        <v>0</v>
      </c>
      <c r="O18" s="387"/>
      <c r="P18" s="639"/>
      <c r="Q18" s="639"/>
      <c r="R18" s="639"/>
      <c r="S18" s="639"/>
      <c r="T18" s="639"/>
      <c r="U18" s="639"/>
      <c r="V18" s="639"/>
      <c r="W18" s="639"/>
      <c r="X18" s="639"/>
      <c r="Y18" s="639"/>
      <c r="Z18" s="388"/>
      <c r="AC18" s="435"/>
      <c r="AD18" s="436"/>
      <c r="AE18" s="438"/>
      <c r="AG18" s="367"/>
      <c r="AH18" s="367"/>
    </row>
    <row r="19" spans="1:34" ht="12.75" customHeight="1">
      <c r="A19" s="317"/>
      <c r="B19" s="317"/>
      <c r="C19" s="317"/>
      <c r="D19" s="317"/>
      <c r="E19" s="317"/>
      <c r="F19" s="317"/>
      <c r="G19" s="317"/>
      <c r="H19" s="317"/>
      <c r="I19" s="329"/>
      <c r="J19" s="308"/>
      <c r="K19" s="308"/>
      <c r="L19" s="329"/>
      <c r="M19" s="329"/>
      <c r="N19" s="657" t="s">
        <v>425</v>
      </c>
      <c r="O19" s="657"/>
      <c r="P19" s="657"/>
      <c r="Q19" s="657"/>
      <c r="R19" s="657"/>
      <c r="S19" s="657"/>
      <c r="T19" s="657"/>
      <c r="U19" s="657"/>
      <c r="V19" s="657"/>
      <c r="W19" s="657"/>
      <c r="X19" s="657"/>
      <c r="Y19" s="657"/>
      <c r="Z19" s="657"/>
      <c r="AA19" s="657"/>
      <c r="AC19" s="613" t="e">
        <f>+VLOOKUP(U13,Vejledning!A:AP,12,1)</f>
        <v>#N/A</v>
      </c>
      <c r="AD19" s="613"/>
      <c r="AE19" s="624" t="e">
        <f>+VLOOKUP(U13,Vejledning!A:AP,13,1)</f>
        <v>#N/A</v>
      </c>
      <c r="AF19" s="624"/>
      <c r="AG19" s="367"/>
      <c r="AH19" s="367"/>
    </row>
    <row r="20" spans="1:34" ht="12.75" customHeight="1">
      <c r="A20" s="317"/>
      <c r="B20" s="327" t="s">
        <v>145</v>
      </c>
      <c r="C20" s="327"/>
      <c r="D20" s="327"/>
      <c r="E20" s="310"/>
      <c r="F20" s="310"/>
      <c r="G20" s="310"/>
      <c r="H20" s="310"/>
      <c r="I20" s="310"/>
      <c r="J20" s="308"/>
      <c r="K20" s="308"/>
      <c r="L20" s="310"/>
      <c r="M20" s="310"/>
      <c r="N20" s="657"/>
      <c r="O20" s="657"/>
      <c r="P20" s="657"/>
      <c r="Q20" s="657"/>
      <c r="R20" s="657"/>
      <c r="S20" s="657"/>
      <c r="T20" s="657"/>
      <c r="U20" s="657"/>
      <c r="V20" s="657"/>
      <c r="W20" s="657"/>
      <c r="X20" s="657"/>
      <c r="Y20" s="657"/>
      <c r="Z20" s="657"/>
      <c r="AA20" s="657"/>
      <c r="AC20" s="613"/>
      <c r="AD20" s="613"/>
      <c r="AE20" s="624"/>
      <c r="AF20" s="624"/>
      <c r="AG20" s="367"/>
      <c r="AH20" s="367"/>
    </row>
    <row r="21" spans="1:34" ht="6" customHeight="1">
      <c r="A21" s="317"/>
      <c r="B21" s="310"/>
      <c r="C21" s="330" t="s">
        <v>388</v>
      </c>
      <c r="D21" s="306"/>
      <c r="E21" s="306"/>
      <c r="F21" s="306"/>
      <c r="G21" s="306"/>
      <c r="H21" s="306"/>
      <c r="I21" s="306"/>
      <c r="J21" s="331"/>
      <c r="K21" s="308"/>
      <c r="L21" s="306"/>
      <c r="M21" s="306"/>
      <c r="N21" s="306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C21" s="442"/>
      <c r="AD21" s="442"/>
      <c r="AE21" s="441"/>
      <c r="AG21" s="367"/>
      <c r="AH21" s="367"/>
    </row>
    <row r="22" spans="1:34" ht="12.75" customHeight="1">
      <c r="A22" s="317"/>
      <c r="B22" s="310"/>
      <c r="C22" s="306" t="s">
        <v>395</v>
      </c>
      <c r="D22" s="310"/>
      <c r="E22" s="310"/>
      <c r="F22" s="310"/>
      <c r="G22" s="310"/>
      <c r="H22" s="310"/>
      <c r="I22" s="417"/>
      <c r="J22" s="323">
        <v>0</v>
      </c>
      <c r="K22" s="308"/>
      <c r="L22" s="312">
        <f>ROUND((VLOOKUP($J$17+J22,TabelLøn,StartkolonneNyLøn,1)-VLOOKUP($J$17,TabelLøn,StartkolonneNyLøn,1))*BeskGradNyLøn,2)</f>
        <v>0</v>
      </c>
      <c r="M22" s="313">
        <f>L22*12</f>
        <v>0</v>
      </c>
      <c r="O22" s="633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5"/>
      <c r="AC22" s="613" t="e">
        <f>+VLOOKUP(U13,Vejledning!A:AP,14,1)</f>
        <v>#N/A</v>
      </c>
      <c r="AD22" s="613"/>
      <c r="AE22" s="624" t="e">
        <f>+VLOOKUP(U13,Vejledning!A:AP,15,1)</f>
        <v>#N/A</v>
      </c>
      <c r="AF22" s="624"/>
      <c r="AG22" s="367"/>
      <c r="AH22" s="367"/>
    </row>
    <row r="23" spans="1:34" ht="12.75" customHeight="1">
      <c r="A23" s="317"/>
      <c r="B23" s="310"/>
      <c r="C23" s="306" t="s">
        <v>479</v>
      </c>
      <c r="D23" s="310"/>
      <c r="E23" s="310"/>
      <c r="F23" s="310"/>
      <c r="G23" s="310"/>
      <c r="H23" s="318"/>
      <c r="I23" s="316"/>
      <c r="J23" s="421"/>
      <c r="K23" s="308"/>
      <c r="L23" s="312">
        <f>ROUND(I23/12*BeskGradNyLøn*(1+PctRegNyLøn%),2)</f>
        <v>0</v>
      </c>
      <c r="M23" s="313">
        <f>L23*12</f>
        <v>0</v>
      </c>
      <c r="O23" s="633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5"/>
      <c r="AC23" s="613"/>
      <c r="AD23" s="613"/>
      <c r="AE23" s="624"/>
      <c r="AF23" s="624"/>
      <c r="AG23" s="367"/>
      <c r="AH23" s="367"/>
    </row>
    <row r="24" spans="1:34" ht="12.75" customHeight="1">
      <c r="A24" s="317"/>
      <c r="B24" s="310"/>
      <c r="C24" s="330" t="s">
        <v>388</v>
      </c>
      <c r="D24" s="306"/>
      <c r="E24" s="306"/>
      <c r="F24" s="306"/>
      <c r="G24" s="306"/>
      <c r="H24" s="306"/>
      <c r="I24" s="306"/>
      <c r="J24" s="331"/>
      <c r="K24" s="308"/>
      <c r="L24" s="306"/>
      <c r="M24" s="306"/>
      <c r="N24" s="306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C24" s="613" t="e">
        <f>+VLOOKUP(U13,Vejledning!A:AP,16,1)</f>
        <v>#N/A</v>
      </c>
      <c r="AD24" s="613"/>
      <c r="AE24" s="624" t="e">
        <f>+VLOOKUP(U13,Vejledning!A:AP,17,1)</f>
        <v>#N/A</v>
      </c>
      <c r="AF24" s="624"/>
      <c r="AG24" s="367"/>
      <c r="AH24" s="367"/>
    </row>
    <row r="25" spans="1:34" ht="12.75" customHeight="1">
      <c r="A25" s="317"/>
      <c r="B25" s="310"/>
      <c r="C25" s="306" t="s">
        <v>393</v>
      </c>
      <c r="D25" s="310"/>
      <c r="E25" s="310"/>
      <c r="F25" s="310"/>
      <c r="G25" s="310"/>
      <c r="H25" s="310"/>
      <c r="I25" s="418"/>
      <c r="J25" s="323"/>
      <c r="K25" s="308"/>
      <c r="L25" s="312">
        <f>ROUND((VLOOKUP($J$17+J22+J25,TabelLøn,StartkolonneNyLøn,1)-VLOOKUP($J$17+J22,TabelLøn,StartkolonneNyLøn,1))*BeskGradNyLøn,2)</f>
        <v>0</v>
      </c>
      <c r="M25" s="313">
        <f t="shared" ref="M25:M32" si="0">L25*12</f>
        <v>0</v>
      </c>
      <c r="O25" s="633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5"/>
      <c r="AC25" s="613"/>
      <c r="AD25" s="613"/>
      <c r="AE25" s="624"/>
      <c r="AF25" s="624"/>
      <c r="AG25" s="367"/>
      <c r="AH25" s="367"/>
    </row>
    <row r="26" spans="1:34" ht="12.75" customHeight="1">
      <c r="A26" s="317"/>
      <c r="B26" s="310"/>
      <c r="C26" s="306" t="s">
        <v>393</v>
      </c>
      <c r="D26" s="310"/>
      <c r="E26" s="310"/>
      <c r="F26" s="310"/>
      <c r="G26" s="310"/>
      <c r="H26" s="310"/>
      <c r="I26" s="418"/>
      <c r="J26" s="323"/>
      <c r="K26" s="308"/>
      <c r="L26" s="312">
        <f>ROUND((VLOOKUP($J$17+J22+J25+J26,TabelLøn,StartkolonneNyLøn,1)-VLOOKUP($J$17+J22+J25,TabelLøn,StartkolonneNyLøn,1))*BeskGradNyLøn,2)</f>
        <v>0</v>
      </c>
      <c r="M26" s="313">
        <f t="shared" si="0"/>
        <v>0</v>
      </c>
      <c r="O26" s="633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5"/>
      <c r="AC26" s="613" t="e">
        <f>+VLOOKUP(U13,Vejledning!A:AP,18,1)</f>
        <v>#N/A</v>
      </c>
      <c r="AD26" s="613"/>
      <c r="AE26" s="624" t="e">
        <f>+VLOOKUP(U13,Vejledning!A:AP,19,1)</f>
        <v>#N/A</v>
      </c>
      <c r="AF26" s="624"/>
      <c r="AG26" s="367"/>
      <c r="AH26" s="367"/>
    </row>
    <row r="27" spans="1:34" ht="12.75" customHeight="1">
      <c r="A27" s="317"/>
      <c r="B27" s="310"/>
      <c r="C27" s="306" t="s">
        <v>393</v>
      </c>
      <c r="D27" s="310"/>
      <c r="E27" s="310"/>
      <c r="F27" s="310"/>
      <c r="G27" s="310"/>
      <c r="H27" s="310"/>
      <c r="I27" s="418"/>
      <c r="J27" s="323"/>
      <c r="K27" s="308"/>
      <c r="L27" s="312">
        <f>ROUND((VLOOKUP($J$17+J22+J25+J26+J27,TabelLøn,StartkolonneNyLøn,1)-VLOOKUP($J$17+J22+J25+J26,TabelLøn,StartkolonneNyLøn,1))*BeskGradNyLøn,2)</f>
        <v>0</v>
      </c>
      <c r="M27" s="313">
        <f t="shared" si="0"/>
        <v>0</v>
      </c>
      <c r="O27" s="633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5"/>
      <c r="AC27" s="613"/>
      <c r="AD27" s="613"/>
      <c r="AE27" s="624"/>
      <c r="AF27" s="624"/>
      <c r="AG27" s="367"/>
      <c r="AH27" s="367"/>
    </row>
    <row r="28" spans="1:34" ht="12.75" customHeight="1">
      <c r="A28" s="317"/>
      <c r="B28" s="310"/>
      <c r="C28" s="306" t="s">
        <v>393</v>
      </c>
      <c r="D28" s="310"/>
      <c r="E28" s="310"/>
      <c r="F28" s="310"/>
      <c r="G28" s="310"/>
      <c r="H28" s="310"/>
      <c r="I28" s="417"/>
      <c r="J28" s="323"/>
      <c r="K28" s="308"/>
      <c r="L28" s="312">
        <f>ROUND((VLOOKUP($J$17+J22+J25+J26+J27+J28,TabelLøn,StartkolonneNyLøn,1)-VLOOKUP($J$17+J22+J25+J26+J27,TabelLøn,StartkolonneNyLøn,1))*BeskGradNyLøn,2)</f>
        <v>0</v>
      </c>
      <c r="M28" s="313">
        <f t="shared" si="0"/>
        <v>0</v>
      </c>
      <c r="O28" s="633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5"/>
      <c r="AC28" s="613" t="e">
        <f>+VLOOKUP(U13,Vejledning!A:AP,20,1)</f>
        <v>#N/A</v>
      </c>
      <c r="AD28" s="613"/>
      <c r="AE28" s="624" t="e">
        <f>+VLOOKUP(U13,Vejledning!A:AP,21,1)</f>
        <v>#N/A</v>
      </c>
      <c r="AF28" s="624"/>
      <c r="AG28" s="367"/>
      <c r="AH28" s="367"/>
    </row>
    <row r="29" spans="1:34" ht="12.75" customHeight="1">
      <c r="A29" s="317"/>
      <c r="B29" s="310"/>
      <c r="C29" s="306" t="s">
        <v>480</v>
      </c>
      <c r="D29" s="310"/>
      <c r="E29" s="310"/>
      <c r="F29" s="310"/>
      <c r="G29" s="310"/>
      <c r="H29" s="318"/>
      <c r="I29" s="316"/>
      <c r="J29" s="419"/>
      <c r="K29" s="308"/>
      <c r="L29" s="312">
        <f>ROUND(I29/12*BeskGradNyLøn*(1+PctRegNyLøn%),2)</f>
        <v>0</v>
      </c>
      <c r="M29" s="313">
        <f t="shared" si="0"/>
        <v>0</v>
      </c>
      <c r="O29" s="633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5"/>
      <c r="AC29" s="613"/>
      <c r="AD29" s="613"/>
      <c r="AE29" s="624"/>
      <c r="AF29" s="624"/>
      <c r="AG29" s="367"/>
      <c r="AH29" s="367"/>
    </row>
    <row r="30" spans="1:34" ht="12.75" customHeight="1">
      <c r="A30" s="317"/>
      <c r="B30" s="310"/>
      <c r="C30" s="306" t="s">
        <v>480</v>
      </c>
      <c r="D30" s="310"/>
      <c r="E30" s="310"/>
      <c r="F30" s="310"/>
      <c r="G30" s="310"/>
      <c r="H30" s="318"/>
      <c r="I30" s="316"/>
      <c r="J30" s="420"/>
      <c r="K30" s="308"/>
      <c r="L30" s="312">
        <f>ROUND(I30/12*BeskGradNyLøn*(1+PctRegNyLøn%),2)</f>
        <v>0</v>
      </c>
      <c r="M30" s="313">
        <f t="shared" si="0"/>
        <v>0</v>
      </c>
      <c r="O30" s="633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5"/>
      <c r="AC30" s="613" t="e">
        <f>+VLOOKUP(U13,Vejledning!A:AP,22,1)</f>
        <v>#N/A</v>
      </c>
      <c r="AD30" s="613"/>
      <c r="AE30" s="624" t="e">
        <f>+VLOOKUP(U13,Vejledning!A:AP,23,1)</f>
        <v>#N/A</v>
      </c>
      <c r="AF30" s="624"/>
      <c r="AG30" s="367"/>
      <c r="AH30" s="367"/>
    </row>
    <row r="31" spans="1:34" ht="12.75" customHeight="1">
      <c r="A31" s="317"/>
      <c r="B31" s="310"/>
      <c r="C31" s="306" t="s">
        <v>480</v>
      </c>
      <c r="D31" s="310"/>
      <c r="E31" s="310"/>
      <c r="F31" s="310"/>
      <c r="G31" s="310"/>
      <c r="H31" s="318"/>
      <c r="I31" s="316"/>
      <c r="J31" s="420"/>
      <c r="K31" s="308"/>
      <c r="L31" s="312">
        <f>ROUND(I31/12*BeskGradNyLøn*(1+PctRegNyLøn%),2)</f>
        <v>0</v>
      </c>
      <c r="M31" s="313">
        <f t="shared" si="0"/>
        <v>0</v>
      </c>
      <c r="O31" s="633"/>
      <c r="P31" s="634"/>
      <c r="Q31" s="634"/>
      <c r="R31" s="634"/>
      <c r="S31" s="634"/>
      <c r="T31" s="634"/>
      <c r="U31" s="634"/>
      <c r="V31" s="634"/>
      <c r="W31" s="634"/>
      <c r="X31" s="634"/>
      <c r="Y31" s="634"/>
      <c r="Z31" s="635"/>
      <c r="AC31" s="613"/>
      <c r="AD31" s="613"/>
      <c r="AE31" s="624"/>
      <c r="AF31" s="624"/>
      <c r="AG31" s="367"/>
      <c r="AH31" s="367"/>
    </row>
    <row r="32" spans="1:34" ht="12.75" customHeight="1">
      <c r="A32" s="317"/>
      <c r="B32" s="310"/>
      <c r="C32" s="306" t="s">
        <v>480</v>
      </c>
      <c r="D32" s="310"/>
      <c r="E32" s="310"/>
      <c r="F32" s="310"/>
      <c r="G32" s="310"/>
      <c r="H32" s="318"/>
      <c r="I32" s="316"/>
      <c r="J32" s="420"/>
      <c r="K32" s="308"/>
      <c r="L32" s="312">
        <f>ROUND(I32/12*BeskGradNyLøn*(1+PctRegNyLøn%),2)</f>
        <v>0</v>
      </c>
      <c r="M32" s="313">
        <f t="shared" si="0"/>
        <v>0</v>
      </c>
      <c r="O32" s="633"/>
      <c r="P32" s="634"/>
      <c r="Q32" s="634"/>
      <c r="R32" s="634"/>
      <c r="S32" s="634"/>
      <c r="T32" s="634"/>
      <c r="U32" s="634"/>
      <c r="V32" s="634"/>
      <c r="W32" s="634"/>
      <c r="X32" s="634"/>
      <c r="Y32" s="634"/>
      <c r="Z32" s="635"/>
      <c r="AC32" s="613" t="e">
        <f>+VLOOKUP(U13,Vejledning!A:AP,24,1)</f>
        <v>#N/A</v>
      </c>
      <c r="AD32" s="613"/>
      <c r="AE32" s="624" t="e">
        <f>+VLOOKUP(U13,Vejledning!A:AP,25,1)</f>
        <v>#N/A</v>
      </c>
      <c r="AF32" s="624"/>
      <c r="AG32" s="367"/>
      <c r="AH32" s="367"/>
    </row>
    <row r="33" spans="1:34" ht="12.75" customHeight="1">
      <c r="A33" s="317"/>
      <c r="B33" s="310"/>
      <c r="C33" s="306"/>
      <c r="D33" s="306"/>
      <c r="E33" s="306"/>
      <c r="F33" s="306"/>
      <c r="G33" s="306"/>
      <c r="H33" s="306"/>
      <c r="I33" s="306"/>
      <c r="J33" s="331"/>
      <c r="K33" s="308"/>
      <c r="L33" s="306"/>
      <c r="M33" s="306"/>
      <c r="N33" s="306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C33" s="436"/>
      <c r="AD33" s="436"/>
      <c r="AE33" s="438"/>
      <c r="AG33" s="367"/>
      <c r="AH33" s="367"/>
    </row>
    <row r="34" spans="1:34" ht="12.75" customHeight="1">
      <c r="A34" s="317"/>
      <c r="B34" s="310"/>
      <c r="C34" s="306" t="s">
        <v>481</v>
      </c>
      <c r="D34" s="310"/>
      <c r="E34" s="310"/>
      <c r="F34" s="310"/>
      <c r="G34" s="310"/>
      <c r="H34" s="318"/>
      <c r="I34" s="316"/>
      <c r="J34" s="420"/>
      <c r="K34" s="308"/>
      <c r="L34" s="312">
        <f>ROUND(I34/12*BeskGradNyLøn*(1+PctRegNyLøn%),2)</f>
        <v>0</v>
      </c>
      <c r="M34" s="313">
        <f>L34*12</f>
        <v>0</v>
      </c>
      <c r="O34" s="633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5"/>
      <c r="AC34" s="613" t="e">
        <f>+VLOOKUP(U13,Vejledning!A:AP,26,1)</f>
        <v>#N/A</v>
      </c>
      <c r="AD34" s="613"/>
      <c r="AE34" s="624" t="e">
        <f>+VLOOKUP(U13,Vejledning!A:AP,27,1)</f>
        <v>#N/A</v>
      </c>
      <c r="AF34" s="624"/>
      <c r="AG34" s="367"/>
      <c r="AH34" s="367"/>
    </row>
    <row r="35" spans="1:34" ht="12.75" customHeight="1">
      <c r="A35" s="317"/>
      <c r="B35" s="310"/>
      <c r="C35" s="306" t="s">
        <v>482</v>
      </c>
      <c r="D35" s="310"/>
      <c r="E35" s="310"/>
      <c r="F35" s="310"/>
      <c r="G35" s="310"/>
      <c r="H35" s="318"/>
      <c r="I35" s="316"/>
      <c r="J35" s="420"/>
      <c r="K35" s="308"/>
      <c r="L35" s="312">
        <f>ROUND(I35/12*BeskGradNyLøn*(1+PctRegNyLøn%),2)</f>
        <v>0</v>
      </c>
      <c r="M35" s="313">
        <f>L35*12</f>
        <v>0</v>
      </c>
      <c r="O35" s="633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5"/>
      <c r="AC35" s="436"/>
      <c r="AD35" s="436"/>
      <c r="AE35" s="438"/>
      <c r="AG35" s="367"/>
      <c r="AH35" s="367"/>
    </row>
    <row r="36" spans="1:34" ht="6" customHeight="1">
      <c r="A36" s="317"/>
      <c r="B36" s="310"/>
      <c r="C36" s="330" t="s">
        <v>388</v>
      </c>
      <c r="D36" s="306"/>
      <c r="E36" s="306"/>
      <c r="F36" s="306"/>
      <c r="G36" s="306"/>
      <c r="H36" s="306"/>
      <c r="I36" s="306"/>
      <c r="J36" s="331"/>
      <c r="K36" s="308"/>
      <c r="L36" s="306"/>
      <c r="M36" s="306"/>
      <c r="N36" s="656" t="s">
        <v>451</v>
      </c>
      <c r="O36" s="656"/>
      <c r="P36" s="656"/>
      <c r="Q36" s="656"/>
      <c r="R36" s="656"/>
      <c r="S36" s="656"/>
      <c r="T36" s="656"/>
      <c r="U36" s="656"/>
      <c r="V36" s="656"/>
      <c r="W36" s="656"/>
      <c r="X36" s="656"/>
      <c r="Y36" s="656"/>
      <c r="Z36" s="656"/>
      <c r="AA36" s="656"/>
      <c r="AC36" s="436"/>
      <c r="AD36" s="436"/>
      <c r="AE36" s="624"/>
      <c r="AF36" s="624"/>
      <c r="AG36" s="367"/>
      <c r="AH36" s="367"/>
    </row>
    <row r="37" spans="1:34" ht="12.75" customHeight="1">
      <c r="A37" s="317"/>
      <c r="B37" s="327" t="s">
        <v>146</v>
      </c>
      <c r="C37" s="310"/>
      <c r="D37" s="310"/>
      <c r="E37" s="310"/>
      <c r="F37" s="310"/>
      <c r="G37" s="310"/>
      <c r="H37" s="310"/>
      <c r="I37" s="310"/>
      <c r="J37" s="308"/>
      <c r="K37" s="308"/>
      <c r="L37" s="310"/>
      <c r="M37" s="310"/>
      <c r="N37" s="656"/>
      <c r="O37" s="656"/>
      <c r="P37" s="656"/>
      <c r="Q37" s="656"/>
      <c r="R37" s="656"/>
      <c r="S37" s="656"/>
      <c r="T37" s="656"/>
      <c r="U37" s="656"/>
      <c r="V37" s="656"/>
      <c r="W37" s="656"/>
      <c r="X37" s="656"/>
      <c r="Y37" s="656"/>
      <c r="Z37" s="656"/>
      <c r="AA37" s="656"/>
      <c r="AC37" s="613" t="e">
        <f>+VLOOKUP(U13,Vejledning!A:AP,28,1)</f>
        <v>#N/A</v>
      </c>
      <c r="AD37" s="613"/>
      <c r="AE37" s="624" t="e">
        <f>+VLOOKUP(U13,Vejledning!A:AP,29,1)</f>
        <v>#N/A</v>
      </c>
      <c r="AF37" s="624"/>
      <c r="AG37" s="367"/>
      <c r="AH37" s="367"/>
    </row>
    <row r="38" spans="1:34" ht="6" customHeight="1">
      <c r="A38" s="317"/>
      <c r="B38" s="310"/>
      <c r="C38" s="330" t="s">
        <v>388</v>
      </c>
      <c r="D38" s="306"/>
      <c r="E38" s="306"/>
      <c r="F38" s="306"/>
      <c r="G38" s="306"/>
      <c r="H38" s="306"/>
      <c r="I38" s="306"/>
      <c r="J38" s="331"/>
      <c r="K38" s="308"/>
      <c r="L38" s="306"/>
      <c r="M38" s="306"/>
      <c r="N38" s="306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C38" s="436"/>
      <c r="AD38" s="436"/>
      <c r="AE38" s="438"/>
      <c r="AG38" s="367"/>
      <c r="AH38" s="367"/>
    </row>
    <row r="39" spans="1:34" ht="12.75" customHeight="1">
      <c r="A39" s="317"/>
      <c r="B39" s="310"/>
      <c r="C39" s="306" t="s">
        <v>397</v>
      </c>
      <c r="D39" s="310"/>
      <c r="E39" s="310"/>
      <c r="F39" s="310"/>
      <c r="G39" s="310"/>
      <c r="H39" s="310"/>
      <c r="I39" s="418"/>
      <c r="J39" s="323"/>
      <c r="K39" s="308"/>
      <c r="L39" s="312">
        <f>ROUND((VLOOKUP($J$17+J22+J25+J26+J27+J28+J39,TabelLøn,StartkolonneNyLøn,1)-VLOOKUP($J$17+J22+J25+J26+J27+J28,TabelLøn,StartkolonneNyLøn,1))*BeskGradNyLøn,2)</f>
        <v>0</v>
      </c>
      <c r="M39" s="313">
        <f>L39*12</f>
        <v>0</v>
      </c>
      <c r="O39" s="633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5"/>
      <c r="AC39" s="613" t="e">
        <f>+VLOOKUP(U13,Vejledning!A:AP,30,1)</f>
        <v>#N/A</v>
      </c>
      <c r="AD39" s="613"/>
      <c r="AE39" s="624" t="e">
        <f>+VLOOKUP(U13,Vejledning!A:AP,31,1)</f>
        <v>#N/A</v>
      </c>
      <c r="AF39" s="624"/>
      <c r="AG39" s="367"/>
      <c r="AH39" s="367"/>
    </row>
    <row r="40" spans="1:34" ht="12.75" customHeight="1">
      <c r="A40" s="317"/>
      <c r="B40" s="310"/>
      <c r="C40" s="306" t="s">
        <v>397</v>
      </c>
      <c r="D40" s="310"/>
      <c r="E40" s="310"/>
      <c r="F40" s="310"/>
      <c r="G40" s="310"/>
      <c r="H40" s="310"/>
      <c r="I40" s="418"/>
      <c r="J40" s="323"/>
      <c r="K40" s="308"/>
      <c r="L40" s="312">
        <f>ROUND((VLOOKUP($J$17+J22+J25+J26+J27+J28+J39+J40,TabelLøn,StartkolonneNyLøn,1)-VLOOKUP($J$17+J22+J25+J26+J27+J28+J39,TabelLøn,StartkolonneNyLøn,1))*BeskGradNyLøn,2)</f>
        <v>0</v>
      </c>
      <c r="M40" s="313">
        <f>L40*12</f>
        <v>0</v>
      </c>
      <c r="O40" s="633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5"/>
      <c r="AC40" s="436"/>
      <c r="AD40" s="436"/>
      <c r="AE40" s="438"/>
      <c r="AG40" s="367"/>
      <c r="AH40" s="367"/>
    </row>
    <row r="41" spans="1:34" ht="12.75" customHeight="1">
      <c r="A41" s="317"/>
      <c r="B41" s="310"/>
      <c r="C41" s="306" t="s">
        <v>397</v>
      </c>
      <c r="D41" s="310"/>
      <c r="E41" s="310"/>
      <c r="F41" s="310"/>
      <c r="G41" s="310"/>
      <c r="H41" s="310"/>
      <c r="I41" s="417"/>
      <c r="J41" s="323"/>
      <c r="K41" s="308"/>
      <c r="L41" s="312">
        <f>ROUND((VLOOKUP($J$17+J22+J25+J26+J27+J28+J39+J40+J41,TabelLøn,StartkolonneNyLøn,1)-VLOOKUP($J$17+J22+J25+J26+J27+J28+J39+J40,TabelLøn,StartkolonneNyLøn,1))*BeskGradNyLøn,2)</f>
        <v>0</v>
      </c>
      <c r="M41" s="313">
        <f t="shared" ref="M41:M55" si="1">L41*12</f>
        <v>0</v>
      </c>
      <c r="O41" s="633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5"/>
      <c r="AC41" s="613" t="e">
        <f>+VLOOKUP(U13,Vejledning!A:AP,32,1)</f>
        <v>#N/A</v>
      </c>
      <c r="AD41" s="613"/>
      <c r="AE41" s="624" t="e">
        <f>+VLOOKUP(U13,Vejledning!A:AP,33,1)</f>
        <v>#N/A</v>
      </c>
      <c r="AF41" s="624"/>
      <c r="AG41" s="367"/>
      <c r="AH41" s="367"/>
    </row>
    <row r="42" spans="1:34" ht="12.75" customHeight="1">
      <c r="A42" s="306"/>
      <c r="B42" s="310"/>
      <c r="C42" s="306" t="s">
        <v>398</v>
      </c>
      <c r="D42" s="310"/>
      <c r="E42" s="310"/>
      <c r="F42" s="310"/>
      <c r="G42" s="310"/>
      <c r="H42" s="318"/>
      <c r="I42" s="316"/>
      <c r="J42" s="421"/>
      <c r="K42" s="308"/>
      <c r="L42" s="312">
        <f>ROUND(I42/12*BeskGradNyLøn*(1+PctRegNyLøn%),2)</f>
        <v>0</v>
      </c>
      <c r="M42" s="313">
        <f t="shared" si="1"/>
        <v>0</v>
      </c>
      <c r="O42" s="633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5"/>
      <c r="AC42" s="436"/>
      <c r="AD42" s="436"/>
      <c r="AE42" s="438"/>
      <c r="AG42" s="367"/>
      <c r="AH42" s="367"/>
    </row>
    <row r="43" spans="1:34" ht="12.75" customHeight="1">
      <c r="A43" s="306"/>
      <c r="B43" s="310"/>
      <c r="C43" s="306" t="s">
        <v>398</v>
      </c>
      <c r="D43" s="310"/>
      <c r="E43" s="310"/>
      <c r="F43" s="310"/>
      <c r="G43" s="310"/>
      <c r="H43" s="318"/>
      <c r="I43" s="316"/>
      <c r="J43" s="422"/>
      <c r="K43" s="308"/>
      <c r="L43" s="312">
        <f>ROUND(I43/12*BeskGradNyLøn*(1+PctRegNyLøn%),2)</f>
        <v>0</v>
      </c>
      <c r="M43" s="313">
        <f>L43*12</f>
        <v>0</v>
      </c>
      <c r="O43" s="633"/>
      <c r="P43" s="634"/>
      <c r="Q43" s="634"/>
      <c r="R43" s="634"/>
      <c r="S43" s="634"/>
      <c r="T43" s="634"/>
      <c r="U43" s="634"/>
      <c r="V43" s="634"/>
      <c r="W43" s="634"/>
      <c r="X43" s="634"/>
      <c r="Y43" s="634"/>
      <c r="Z43" s="635"/>
      <c r="AC43" s="613" t="e">
        <f>+VLOOKUP(U13,Vejledning!A:AP,34,1)</f>
        <v>#N/A</v>
      </c>
      <c r="AD43" s="613"/>
      <c r="AE43" s="624" t="e">
        <f>+VLOOKUP(U13,Vejledning!A:AP,35,1)</f>
        <v>#N/A</v>
      </c>
      <c r="AF43" s="624"/>
      <c r="AG43" s="367"/>
      <c r="AH43" s="367"/>
    </row>
    <row r="44" spans="1:34" ht="12.75" customHeight="1">
      <c r="A44" s="306"/>
      <c r="B44" s="310"/>
      <c r="C44" s="306" t="s">
        <v>398</v>
      </c>
      <c r="D44" s="310"/>
      <c r="E44" s="310"/>
      <c r="F44" s="310"/>
      <c r="G44" s="310"/>
      <c r="H44" s="318"/>
      <c r="I44" s="316"/>
      <c r="J44" s="422"/>
      <c r="K44" s="308"/>
      <c r="L44" s="312">
        <f>ROUND(I44/12*BeskGradNyLøn*(1+PctRegNyLøn%),2)</f>
        <v>0</v>
      </c>
      <c r="M44" s="313">
        <f t="shared" si="1"/>
        <v>0</v>
      </c>
      <c r="O44" s="633"/>
      <c r="P44" s="634"/>
      <c r="Q44" s="634"/>
      <c r="R44" s="634"/>
      <c r="S44" s="634"/>
      <c r="T44" s="634"/>
      <c r="U44" s="634"/>
      <c r="V44" s="634"/>
      <c r="W44" s="634"/>
      <c r="X44" s="634"/>
      <c r="Y44" s="634"/>
      <c r="Z44" s="635"/>
      <c r="AC44" s="436"/>
      <c r="AD44" s="436"/>
      <c r="AE44" s="624"/>
      <c r="AF44" s="624"/>
      <c r="AG44" s="367"/>
      <c r="AH44" s="367"/>
    </row>
    <row r="45" spans="1:34" ht="6" customHeight="1">
      <c r="A45" s="317"/>
      <c r="B45" s="310"/>
      <c r="C45" s="306"/>
      <c r="D45" s="306"/>
      <c r="E45" s="306"/>
      <c r="F45" s="306"/>
      <c r="G45" s="306"/>
      <c r="H45" s="306"/>
      <c r="I45" s="306"/>
      <c r="J45" s="331"/>
      <c r="K45" s="308"/>
      <c r="L45" s="306"/>
      <c r="M45" s="306"/>
      <c r="N45" s="306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C45" s="436"/>
      <c r="AD45" s="436"/>
      <c r="AE45" s="624"/>
      <c r="AF45" s="624"/>
      <c r="AG45" s="367"/>
      <c r="AH45" s="367"/>
    </row>
    <row r="46" spans="1:34" ht="12.75" customHeight="1">
      <c r="A46" s="317"/>
      <c r="B46" s="310"/>
      <c r="C46" s="306" t="s">
        <v>401</v>
      </c>
      <c r="D46" s="310"/>
      <c r="E46" s="310"/>
      <c r="F46" s="310"/>
      <c r="G46" s="310"/>
      <c r="H46" s="310"/>
      <c r="I46" s="418"/>
      <c r="J46" s="323"/>
      <c r="K46" s="308"/>
      <c r="L46" s="312">
        <f>ROUND((VLOOKUP($J$17+J22+J25+J26+J27+J28+J39+J40+J41+J46,TabelLøn,StartkolonneNyLøn,1)-VLOOKUP($J$17+J22+J25+J26+J27+J28+J39+J40+J41,TabelLøn,StartkolonneNyLøn,1))*BeskGradNyLøn,2)</f>
        <v>0</v>
      </c>
      <c r="M46" s="313">
        <f>L46*12</f>
        <v>0</v>
      </c>
      <c r="O46" s="633"/>
      <c r="P46" s="634"/>
      <c r="Q46" s="634"/>
      <c r="R46" s="634"/>
      <c r="S46" s="634"/>
      <c r="T46" s="634"/>
      <c r="U46" s="634"/>
      <c r="V46" s="634"/>
      <c r="W46" s="634"/>
      <c r="X46" s="634"/>
      <c r="Y46" s="634"/>
      <c r="Z46" s="635"/>
      <c r="AC46" s="613"/>
      <c r="AD46" s="613"/>
      <c r="AE46" s="624"/>
      <c r="AF46" s="624"/>
      <c r="AG46" s="367"/>
      <c r="AH46" s="367"/>
    </row>
    <row r="47" spans="1:34" ht="12.75" customHeight="1">
      <c r="A47" s="317"/>
      <c r="B47" s="310"/>
      <c r="C47" s="306" t="s">
        <v>401</v>
      </c>
      <c r="D47" s="310"/>
      <c r="E47" s="310"/>
      <c r="F47" s="310"/>
      <c r="G47" s="310"/>
      <c r="H47" s="310"/>
      <c r="I47" s="418"/>
      <c r="J47" s="323"/>
      <c r="K47" s="308"/>
      <c r="L47" s="312">
        <f>ROUND((VLOOKUP($J$17+J22+J25+J26+J27+J28+J39+J40+J41+J46+J47,TabelLøn,StartkolonneNyLøn,1)-VLOOKUP($J$17+J22+J25+J26+J27+J28+J39+J40+J41+J46,TabelLøn,StartkolonneNyLøn,1))*BeskGradNyLøn,2)</f>
        <v>0</v>
      </c>
      <c r="M47" s="313">
        <f>L47*12</f>
        <v>0</v>
      </c>
      <c r="O47" s="633"/>
      <c r="P47" s="634"/>
      <c r="Q47" s="634"/>
      <c r="R47" s="634"/>
      <c r="S47" s="634"/>
      <c r="T47" s="634"/>
      <c r="U47" s="634"/>
      <c r="V47" s="634"/>
      <c r="W47" s="634"/>
      <c r="X47" s="634"/>
      <c r="Y47" s="634"/>
      <c r="Z47" s="635"/>
      <c r="AC47" s="440"/>
      <c r="AD47" s="442"/>
      <c r="AE47" s="438"/>
      <c r="AG47" s="367"/>
      <c r="AH47" s="367"/>
    </row>
    <row r="48" spans="1:34" ht="12.75" customHeight="1">
      <c r="A48" s="317"/>
      <c r="B48" s="310"/>
      <c r="C48" s="306" t="s">
        <v>401</v>
      </c>
      <c r="D48" s="310"/>
      <c r="E48" s="310"/>
      <c r="F48" s="310"/>
      <c r="G48" s="310"/>
      <c r="H48" s="310"/>
      <c r="I48" s="418"/>
      <c r="J48" s="323"/>
      <c r="K48" s="308"/>
      <c r="L48" s="312">
        <f>ROUND((VLOOKUP($J$17+J22+J25+J26+J27+J28+J39+J40+J41+J46+J47+J48,TabelLøn,StartkolonneNyLøn,1)-VLOOKUP($J$17+J22+J25+J26+J27+J28+J39+J40+J41+J46+J47,TabelLøn,StartkolonneNyLøn,1))*BeskGradNyLøn,2)</f>
        <v>0</v>
      </c>
      <c r="M48" s="313">
        <f>L48*12</f>
        <v>0</v>
      </c>
      <c r="O48" s="633"/>
      <c r="P48" s="634"/>
      <c r="Q48" s="634"/>
      <c r="R48" s="634"/>
      <c r="S48" s="634"/>
      <c r="T48" s="634"/>
      <c r="U48" s="634"/>
      <c r="V48" s="634"/>
      <c r="W48" s="634"/>
      <c r="X48" s="634"/>
      <c r="Y48" s="634"/>
      <c r="Z48" s="635"/>
      <c r="AC48" s="613" t="e">
        <f>+VLOOKUP(U13,Vejledning!A:AP,36,1)</f>
        <v>#N/A</v>
      </c>
      <c r="AD48" s="613"/>
      <c r="AE48" s="624" t="e">
        <f>+VLOOKUP(U13,Vejledning!A:AP,37,1)</f>
        <v>#N/A</v>
      </c>
      <c r="AF48" s="624"/>
      <c r="AG48" s="367"/>
      <c r="AH48" s="367"/>
    </row>
    <row r="49" spans="1:34" ht="12.75" customHeight="1">
      <c r="A49" s="317"/>
      <c r="B49" s="310"/>
      <c r="C49" s="306" t="s">
        <v>401</v>
      </c>
      <c r="D49" s="310"/>
      <c r="E49" s="310"/>
      <c r="F49" s="310"/>
      <c r="G49" s="310"/>
      <c r="H49" s="310"/>
      <c r="I49" s="417"/>
      <c r="J49" s="323"/>
      <c r="K49" s="308"/>
      <c r="L49" s="312">
        <f>ROUND((VLOOKUP($J$17+J22+J25+J26+J27+J28+J39+J40+J41+J46+J47+J48+J49,TabelLøn,StartkolonneNyLøn,1)-VLOOKUP($J$17+J22+J25+J26+J27+J28+J39+J40+J41+J46+J47+J48,TabelLøn,StartkolonneNyLøn,1))*BeskGradNyLøn,2)</f>
        <v>0</v>
      </c>
      <c r="M49" s="313">
        <f t="shared" si="1"/>
        <v>0</v>
      </c>
      <c r="O49" s="633"/>
      <c r="P49" s="634"/>
      <c r="Q49" s="634"/>
      <c r="R49" s="634"/>
      <c r="S49" s="634"/>
      <c r="T49" s="634"/>
      <c r="U49" s="634"/>
      <c r="V49" s="634"/>
      <c r="W49" s="634"/>
      <c r="X49" s="634"/>
      <c r="Y49" s="634"/>
      <c r="Z49" s="635"/>
      <c r="AC49" s="440"/>
      <c r="AD49" s="436"/>
      <c r="AE49" s="438"/>
      <c r="AG49" s="367"/>
      <c r="AH49" s="367"/>
    </row>
    <row r="50" spans="1:34" ht="12.75" customHeight="1">
      <c r="A50" s="317"/>
      <c r="B50" s="310"/>
      <c r="C50" s="306" t="s">
        <v>483</v>
      </c>
      <c r="D50" s="310"/>
      <c r="E50" s="310"/>
      <c r="F50" s="310"/>
      <c r="G50" s="310"/>
      <c r="H50" s="318"/>
      <c r="I50" s="316"/>
      <c r="J50" s="421"/>
      <c r="K50" s="308"/>
      <c r="L50" s="312">
        <f>ROUND(I50/12*BeskGradNyLøn*(1+PctRegNyLøn%),2)</f>
        <v>0</v>
      </c>
      <c r="M50" s="313">
        <f>L50*12</f>
        <v>0</v>
      </c>
      <c r="O50" s="633"/>
      <c r="P50" s="634"/>
      <c r="Q50" s="634"/>
      <c r="R50" s="634"/>
      <c r="S50" s="634"/>
      <c r="T50" s="634"/>
      <c r="U50" s="634"/>
      <c r="V50" s="634"/>
      <c r="W50" s="634"/>
      <c r="X50" s="634"/>
      <c r="Y50" s="634"/>
      <c r="Z50" s="635"/>
      <c r="AC50" s="613" t="e">
        <f>+VLOOKUP(U13,Vejledning!A:AP,38,1)</f>
        <v>#N/A</v>
      </c>
      <c r="AD50" s="613"/>
      <c r="AE50" s="624" t="e">
        <f>+VLOOKUP(U13,Vejledning!A:AP,39,1)</f>
        <v>#N/A</v>
      </c>
      <c r="AF50" s="624"/>
      <c r="AG50" s="367"/>
      <c r="AH50" s="367"/>
    </row>
    <row r="51" spans="1:34" ht="12.75" customHeight="1">
      <c r="A51" s="317"/>
      <c r="B51" s="310"/>
      <c r="C51" s="306" t="s">
        <v>483</v>
      </c>
      <c r="D51" s="310"/>
      <c r="E51" s="310"/>
      <c r="F51" s="310"/>
      <c r="G51" s="310"/>
      <c r="H51" s="318"/>
      <c r="I51" s="316"/>
      <c r="J51" s="422"/>
      <c r="K51" s="308"/>
      <c r="L51" s="312">
        <f>ROUND(I51/12*BeskGradNyLøn*(1+PctRegNyLøn%),2)</f>
        <v>0</v>
      </c>
      <c r="M51" s="313">
        <f t="shared" si="1"/>
        <v>0</v>
      </c>
      <c r="O51" s="633"/>
      <c r="P51" s="634"/>
      <c r="Q51" s="634"/>
      <c r="R51" s="634"/>
      <c r="S51" s="634"/>
      <c r="T51" s="634"/>
      <c r="U51" s="634"/>
      <c r="V51" s="634"/>
      <c r="W51" s="634"/>
      <c r="X51" s="634"/>
      <c r="Y51" s="634"/>
      <c r="Z51" s="635"/>
      <c r="AC51" s="443"/>
      <c r="AD51" s="443"/>
      <c r="AE51" s="438"/>
      <c r="AG51" s="367"/>
      <c r="AH51" s="367"/>
    </row>
    <row r="52" spans="1:34" ht="12.75" customHeight="1">
      <c r="A52" s="317"/>
      <c r="B52" s="310"/>
      <c r="C52" s="306" t="s">
        <v>483</v>
      </c>
      <c r="D52" s="310"/>
      <c r="E52" s="310"/>
      <c r="F52" s="310"/>
      <c r="G52" s="310"/>
      <c r="H52" s="318"/>
      <c r="I52" s="316"/>
      <c r="J52" s="422"/>
      <c r="K52" s="308"/>
      <c r="L52" s="312">
        <f>ROUND(I52/12*BeskGradNyLøn*(1+PctRegNyLøn%),2)</f>
        <v>0</v>
      </c>
      <c r="M52" s="313">
        <f>L52*12</f>
        <v>0</v>
      </c>
      <c r="O52" s="633"/>
      <c r="P52" s="634"/>
      <c r="Q52" s="634"/>
      <c r="R52" s="634"/>
      <c r="S52" s="634"/>
      <c r="T52" s="634"/>
      <c r="U52" s="634"/>
      <c r="V52" s="634"/>
      <c r="W52" s="634"/>
      <c r="X52" s="634"/>
      <c r="Y52" s="634"/>
      <c r="Z52" s="635"/>
      <c r="AC52" s="613" t="e">
        <f>+VLOOKUP(U13,Vejledning!A:AP,40,1)</f>
        <v>#N/A</v>
      </c>
      <c r="AD52" s="613"/>
      <c r="AE52" s="624" t="e">
        <f>+VLOOKUP(U13,Vejledning!A:AP,41,1)</f>
        <v>#N/A</v>
      </c>
      <c r="AF52" s="624"/>
      <c r="AG52" s="367"/>
      <c r="AH52" s="367"/>
    </row>
    <row r="53" spans="1:34" ht="12.75" customHeight="1">
      <c r="A53" s="317"/>
      <c r="B53" s="310"/>
      <c r="C53" s="306" t="s">
        <v>483</v>
      </c>
      <c r="D53" s="310"/>
      <c r="E53" s="310"/>
      <c r="F53" s="310"/>
      <c r="G53" s="310"/>
      <c r="H53" s="318"/>
      <c r="I53" s="316"/>
      <c r="J53" s="422"/>
      <c r="K53" s="308"/>
      <c r="L53" s="312">
        <f>ROUND(I53/12*BeskGradNyLøn*(1+PctRegNyLøn%),2)</f>
        <v>0</v>
      </c>
      <c r="M53" s="313">
        <f t="shared" si="1"/>
        <v>0</v>
      </c>
      <c r="O53" s="633"/>
      <c r="P53" s="634"/>
      <c r="Q53" s="634"/>
      <c r="R53" s="634"/>
      <c r="S53" s="634"/>
      <c r="T53" s="634"/>
      <c r="U53" s="634"/>
      <c r="V53" s="634"/>
      <c r="W53" s="634"/>
      <c r="X53" s="634"/>
      <c r="Y53" s="634"/>
      <c r="Z53" s="635"/>
      <c r="AC53" s="443"/>
      <c r="AD53" s="443"/>
      <c r="AE53" s="624"/>
      <c r="AF53" s="624"/>
      <c r="AG53" s="367"/>
      <c r="AH53" s="367"/>
    </row>
    <row r="54" spans="1:34" ht="6" customHeight="1">
      <c r="A54" s="317"/>
      <c r="B54" s="310"/>
      <c r="C54" s="306"/>
      <c r="D54" s="306"/>
      <c r="E54" s="306"/>
      <c r="F54" s="306"/>
      <c r="G54" s="306"/>
      <c r="H54" s="306"/>
      <c r="I54" s="306"/>
      <c r="J54" s="331"/>
      <c r="K54" s="308"/>
      <c r="L54" s="306"/>
      <c r="M54" s="306"/>
      <c r="N54" s="306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C54" s="443"/>
      <c r="AD54" s="443"/>
      <c r="AE54" s="438"/>
      <c r="AG54" s="367"/>
      <c r="AH54" s="367"/>
    </row>
    <row r="55" spans="1:34" ht="12.75" customHeight="1">
      <c r="A55" s="317"/>
      <c r="B55" s="328" t="s">
        <v>484</v>
      </c>
      <c r="C55" s="314"/>
      <c r="D55" s="314"/>
      <c r="E55" s="314"/>
      <c r="F55" s="314"/>
      <c r="G55" s="314"/>
      <c r="H55" s="315"/>
      <c r="I55" s="316"/>
      <c r="J55" s="323"/>
      <c r="K55" s="308"/>
      <c r="L55" s="312">
        <f>ROUND((VLOOKUP(SUM(J17:J55),TabelLøn,StartkolonneNyLøn,1)-VLOOKUP(SUM(J17:J53),TabelLøn,StartkolonneNyLøn,1))*BeskGradNyLøn,2)+ROUND(I55/12*BeskGradNyLøn*(1+PctRegNyLøn%),2)</f>
        <v>0</v>
      </c>
      <c r="M55" s="313">
        <f t="shared" si="1"/>
        <v>0</v>
      </c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C55" s="613" t="e">
        <f>+VLOOKUP(U13,Vejledning!A:AP,42,1)</f>
        <v>#N/A</v>
      </c>
      <c r="AD55" s="613"/>
      <c r="AE55" s="624" t="e">
        <f>+VLOOKUP(U13,Vejledning!A:AS,43,1)</f>
        <v>#N/A</v>
      </c>
      <c r="AF55" s="624"/>
      <c r="AG55" s="367"/>
      <c r="AH55" s="367"/>
    </row>
    <row r="56" spans="1:34" ht="12.75" customHeight="1">
      <c r="A56" s="317"/>
      <c r="B56" s="328" t="s">
        <v>485</v>
      </c>
      <c r="C56" s="314"/>
      <c r="D56" s="314"/>
      <c r="E56" s="314"/>
      <c r="F56" s="314"/>
      <c r="G56" s="314"/>
      <c r="H56" s="315"/>
      <c r="I56" s="316"/>
      <c r="J56" s="421"/>
      <c r="K56" s="308"/>
      <c r="L56" s="312">
        <f>ROUND(I56/12*BeskGradNyLøn*(1+PctRegNyLøn%),2)</f>
        <v>0</v>
      </c>
      <c r="M56" s="313">
        <f>L56*12</f>
        <v>0</v>
      </c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C56" s="436"/>
      <c r="AD56" s="443"/>
      <c r="AE56" s="624"/>
      <c r="AF56" s="624"/>
      <c r="AG56" s="367"/>
      <c r="AH56" s="367"/>
    </row>
    <row r="57" spans="1:34" ht="6" customHeight="1">
      <c r="A57" s="317"/>
      <c r="B57" s="310"/>
      <c r="C57" s="306"/>
      <c r="D57" s="306"/>
      <c r="E57" s="306"/>
      <c r="F57" s="306"/>
      <c r="G57" s="306"/>
      <c r="H57" s="306"/>
      <c r="I57" s="306"/>
      <c r="J57" s="331"/>
      <c r="K57" s="308"/>
      <c r="L57" s="306"/>
      <c r="M57" s="306"/>
      <c r="N57" s="306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C57" s="443"/>
      <c r="AD57" s="443"/>
      <c r="AE57" s="438"/>
      <c r="AG57" s="367"/>
      <c r="AH57" s="367"/>
    </row>
    <row r="58" spans="1:34" ht="12.75" customHeight="1">
      <c r="A58" s="317"/>
      <c r="B58" s="328" t="s">
        <v>486</v>
      </c>
      <c r="C58" s="314"/>
      <c r="D58" s="314"/>
      <c r="E58" s="314"/>
      <c r="F58" s="314"/>
      <c r="G58" s="314"/>
      <c r="H58" s="315"/>
      <c r="I58" s="316"/>
      <c r="J58" s="422"/>
      <c r="K58" s="308"/>
      <c r="L58" s="312">
        <f>ROUND((VLOOKUP(SUM(J19:J58),TabelLøn,StartkolonneNyLøn,1)-VLOOKUP(SUM(J19:J55),TabelLøn,StartkolonneNyLøn,1))*BeskGradNyLøn,2)+ROUND(I58/12*BeskGradNyLøn*(1+PctRegNyLøn%),2)</f>
        <v>0</v>
      </c>
      <c r="M58" s="313">
        <f>L58*12</f>
        <v>0</v>
      </c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C58" s="613"/>
      <c r="AD58" s="613"/>
      <c r="AE58" s="438"/>
      <c r="AG58" s="367"/>
      <c r="AH58" s="367"/>
    </row>
    <row r="59" spans="1:34" ht="12.75" customHeight="1">
      <c r="A59" s="317"/>
      <c r="B59" s="310"/>
      <c r="C59" s="306"/>
      <c r="D59" s="306"/>
      <c r="E59" s="306"/>
      <c r="F59" s="306"/>
      <c r="G59" s="306"/>
      <c r="H59" s="306"/>
      <c r="I59" s="306"/>
      <c r="J59" s="331"/>
      <c r="K59" s="308"/>
      <c r="L59" s="306"/>
      <c r="M59" s="306"/>
      <c r="N59" s="306"/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C59" s="443"/>
      <c r="AD59" s="443"/>
      <c r="AE59" s="438"/>
      <c r="AG59" s="367"/>
      <c r="AH59" s="367"/>
    </row>
    <row r="60" spans="1:34" ht="12.75" customHeight="1">
      <c r="A60" s="317"/>
      <c r="B60" s="314" t="s">
        <v>411</v>
      </c>
      <c r="C60" s="320"/>
      <c r="D60" s="320"/>
      <c r="E60" s="320"/>
      <c r="F60" s="320"/>
      <c r="G60" s="320"/>
      <c r="H60" s="321"/>
      <c r="I60" s="360">
        <f>SUM(I17:I58)</f>
        <v>0</v>
      </c>
      <c r="J60" s="361">
        <f>SUM(J17:J58)</f>
        <v>0</v>
      </c>
      <c r="K60" s="308"/>
      <c r="L60" s="345">
        <f>SUM(L17:L58)</f>
        <v>0</v>
      </c>
      <c r="M60" s="313">
        <f>SUM(M17:M58)</f>
        <v>0</v>
      </c>
      <c r="Q60" s="319"/>
      <c r="R60" s="319"/>
      <c r="AC60" s="613" t="e">
        <f>+VLOOKUP(U13,Vejledning!A:AR,44,1)</f>
        <v>#N/A</v>
      </c>
      <c r="AD60" s="443"/>
      <c r="AE60" s="624" t="e">
        <f>+VLOOKUP(U13,Vejledning!A:AS,45,1)</f>
        <v>#N/A</v>
      </c>
      <c r="AF60" s="624"/>
      <c r="AG60" s="367"/>
      <c r="AH60" s="367"/>
    </row>
    <row r="61" spans="1:34" ht="6" customHeight="1">
      <c r="A61" s="317"/>
      <c r="B61" s="310"/>
      <c r="C61" s="306"/>
      <c r="D61" s="306"/>
      <c r="E61" s="306"/>
      <c r="F61" s="306"/>
      <c r="G61" s="306"/>
      <c r="H61" s="306"/>
      <c r="I61" s="306"/>
      <c r="J61" s="331"/>
      <c r="K61" s="308"/>
      <c r="L61" s="306"/>
      <c r="M61" s="306"/>
      <c r="N61" s="306"/>
      <c r="O61" s="335"/>
      <c r="P61" s="335"/>
      <c r="Q61" s="319"/>
      <c r="R61" s="319"/>
      <c r="S61" s="335"/>
      <c r="T61" s="335"/>
      <c r="U61" s="335"/>
      <c r="V61" s="335"/>
      <c r="W61" s="335"/>
      <c r="X61" s="335"/>
      <c r="Y61" s="335"/>
      <c r="Z61" s="335"/>
      <c r="AC61" s="613"/>
      <c r="AD61" s="443"/>
      <c r="AE61" s="624"/>
      <c r="AF61" s="624"/>
      <c r="AG61" s="367"/>
      <c r="AH61" s="367"/>
    </row>
    <row r="62" spans="1:34" ht="12.75" customHeight="1">
      <c r="A62" s="317"/>
      <c r="B62" s="328" t="s">
        <v>412</v>
      </c>
      <c r="C62" s="328" t="s">
        <v>22</v>
      </c>
      <c r="D62" s="310"/>
      <c r="E62" s="310"/>
      <c r="F62" s="310"/>
      <c r="G62" s="310"/>
      <c r="H62" s="310"/>
      <c r="I62" s="343"/>
      <c r="J62" s="331"/>
      <c r="K62" s="308"/>
      <c r="L62" s="312">
        <f>ROUND(VLOOKUP(J60,TabelLønninger,VLOOKUP(LønkodeNyLøn,TabelPensgivLøn,2))*PensionsProcentNyLøn/100/12*(TællerNyLøn/M7),2)+(PensionsProcentNyLøn/100*(+L18+L23+L29+L30+L31+L32+L42+L43+L44+L50+L51+L52+L53+L55+L58))</f>
        <v>0</v>
      </c>
      <c r="M62" s="313">
        <f>L62*12</f>
        <v>0</v>
      </c>
      <c r="Q62" s="319"/>
      <c r="R62" s="319"/>
      <c r="AC62" s="613"/>
      <c r="AE62" s="624"/>
      <c r="AF62" s="624"/>
      <c r="AG62" s="367"/>
      <c r="AH62" s="367"/>
    </row>
    <row r="63" spans="1:34" ht="12.75" customHeight="1">
      <c r="A63" s="317"/>
      <c r="B63" s="314" t="s">
        <v>407</v>
      </c>
      <c r="C63" s="328"/>
      <c r="D63" s="320"/>
      <c r="E63" s="320"/>
      <c r="F63" s="320"/>
      <c r="G63" s="320"/>
      <c r="H63" s="320"/>
      <c r="I63" s="343"/>
      <c r="J63" s="362"/>
      <c r="K63" s="308"/>
      <c r="L63" s="345">
        <f>SUM(L60:L62)</f>
        <v>0</v>
      </c>
      <c r="M63" s="346">
        <f>SUM(M60:M62)</f>
        <v>0</v>
      </c>
      <c r="Q63" s="322"/>
      <c r="R63" s="322"/>
      <c r="AC63" s="443"/>
      <c r="AE63" s="438"/>
      <c r="AG63" s="367"/>
      <c r="AH63" s="367"/>
    </row>
    <row r="64" spans="1:34" ht="5.25" customHeight="1">
      <c r="A64" s="317"/>
      <c r="B64" s="314"/>
      <c r="C64" s="328"/>
      <c r="D64" s="320"/>
      <c r="E64" s="320"/>
      <c r="F64" s="320"/>
      <c r="G64" s="320"/>
      <c r="H64" s="320"/>
      <c r="I64" s="343"/>
      <c r="J64" s="362"/>
      <c r="K64" s="362"/>
      <c r="L64" s="363"/>
      <c r="M64" s="363"/>
      <c r="Q64" s="322"/>
      <c r="R64" s="322"/>
      <c r="AC64" s="443"/>
      <c r="AE64" s="438"/>
      <c r="AG64" s="367"/>
      <c r="AH64" s="367"/>
    </row>
    <row r="65" spans="1:37" ht="12" customHeight="1">
      <c r="A65" s="317"/>
      <c r="B65" s="663"/>
      <c r="C65" s="664"/>
      <c r="D65" s="664"/>
      <c r="E65" s="664"/>
      <c r="F65" s="664"/>
      <c r="G65" s="664"/>
      <c r="H65" s="664"/>
      <c r="I65" s="664"/>
      <c r="J65" s="664"/>
      <c r="K65" s="664"/>
      <c r="L65" s="664"/>
      <c r="M65" s="664"/>
      <c r="N65" s="664"/>
      <c r="O65" s="664"/>
      <c r="P65" s="664"/>
      <c r="Q65" s="664"/>
      <c r="R65" s="664"/>
      <c r="S65" s="664"/>
      <c r="T65" s="664"/>
      <c r="U65" s="664"/>
      <c r="V65" s="664"/>
      <c r="W65" s="664"/>
      <c r="X65" s="664"/>
      <c r="Y65" s="664"/>
      <c r="Z65" s="665"/>
      <c r="AC65" s="618" t="s">
        <v>724</v>
      </c>
      <c r="AD65" s="619"/>
      <c r="AE65" s="619"/>
      <c r="AF65" s="620"/>
      <c r="AG65" s="367"/>
      <c r="AH65" s="367"/>
    </row>
    <row r="66" spans="1:37" ht="12" customHeight="1">
      <c r="A66" s="317"/>
      <c r="B66" s="666"/>
      <c r="C66" s="667"/>
      <c r="D66" s="667"/>
      <c r="E66" s="667"/>
      <c r="F66" s="667"/>
      <c r="G66" s="667"/>
      <c r="H66" s="667"/>
      <c r="I66" s="667"/>
      <c r="J66" s="667"/>
      <c r="K66" s="667"/>
      <c r="L66" s="667"/>
      <c r="M66" s="667"/>
      <c r="N66" s="667"/>
      <c r="O66" s="667"/>
      <c r="P66" s="667"/>
      <c r="Q66" s="667"/>
      <c r="R66" s="667"/>
      <c r="S66" s="667"/>
      <c r="T66" s="667"/>
      <c r="U66" s="667"/>
      <c r="V66" s="667"/>
      <c r="W66" s="667"/>
      <c r="X66" s="667"/>
      <c r="Y66" s="667"/>
      <c r="Z66" s="668"/>
      <c r="AC66" s="621"/>
      <c r="AD66" s="622"/>
      <c r="AE66" s="622"/>
      <c r="AF66" s="623"/>
      <c r="AG66" s="367"/>
      <c r="AH66" s="367"/>
    </row>
    <row r="67" spans="1:37" ht="12.75" customHeight="1">
      <c r="A67" s="317"/>
      <c r="B67" s="669"/>
      <c r="C67" s="670"/>
      <c r="D67" s="670"/>
      <c r="E67" s="670"/>
      <c r="F67" s="670"/>
      <c r="G67" s="670"/>
      <c r="H67" s="670"/>
      <c r="I67" s="670"/>
      <c r="J67" s="670"/>
      <c r="K67" s="670"/>
      <c r="L67" s="670"/>
      <c r="M67" s="670"/>
      <c r="N67" s="670"/>
      <c r="O67" s="670"/>
      <c r="P67" s="670"/>
      <c r="Q67" s="670"/>
      <c r="R67" s="670"/>
      <c r="S67" s="670"/>
      <c r="T67" s="670"/>
      <c r="U67" s="670"/>
      <c r="V67" s="670"/>
      <c r="W67" s="670"/>
      <c r="X67" s="670"/>
      <c r="Y67" s="670"/>
      <c r="Z67" s="671"/>
      <c r="AC67" s="615" t="s">
        <v>743</v>
      </c>
      <c r="AD67" s="616"/>
      <c r="AE67" s="616"/>
      <c r="AF67" s="617"/>
      <c r="AG67" s="367"/>
      <c r="AH67" s="367"/>
    </row>
    <row r="68" spans="1:37" ht="12" customHeight="1">
      <c r="C68" s="642" t="s">
        <v>413</v>
      </c>
      <c r="D68" s="642"/>
      <c r="E68" s="642"/>
      <c r="F68" s="642"/>
      <c r="G68" s="642"/>
      <c r="H68" s="642"/>
      <c r="I68" s="642"/>
      <c r="AC68" s="615"/>
      <c r="AD68" s="616"/>
      <c r="AE68" s="616"/>
      <c r="AF68" s="617"/>
      <c r="AG68" s="367"/>
      <c r="AH68" s="367"/>
    </row>
    <row r="69" spans="1:37" ht="5.25" customHeight="1">
      <c r="C69" s="643"/>
      <c r="D69" s="643"/>
      <c r="E69" s="643"/>
      <c r="F69" s="643"/>
      <c r="G69" s="643"/>
      <c r="H69" s="643"/>
      <c r="I69" s="643"/>
      <c r="AC69" s="615" t="s">
        <v>744</v>
      </c>
      <c r="AD69" s="616"/>
      <c r="AE69" s="616"/>
      <c r="AF69" s="617"/>
      <c r="AG69" s="367"/>
      <c r="AH69" s="367"/>
    </row>
    <row r="70" spans="1:37" s="353" customFormat="1" ht="12.75" customHeight="1">
      <c r="B70" s="645" t="s">
        <v>9</v>
      </c>
      <c r="C70" s="646"/>
      <c r="D70" s="646"/>
      <c r="E70" s="647"/>
      <c r="F70" s="647"/>
      <c r="G70" s="647"/>
      <c r="H70" s="647"/>
      <c r="I70" s="648"/>
      <c r="J70" s="576" t="s">
        <v>9</v>
      </c>
      <c r="K70" s="577"/>
      <c r="L70" s="647"/>
      <c r="M70" s="647"/>
      <c r="N70" s="648"/>
      <c r="O70" s="645" t="s">
        <v>9</v>
      </c>
      <c r="P70" s="646"/>
      <c r="Q70" s="573"/>
      <c r="R70" s="647"/>
      <c r="S70" s="647"/>
      <c r="T70" s="647"/>
      <c r="U70" s="647"/>
      <c r="V70" s="647"/>
      <c r="W70" s="647"/>
      <c r="X70" s="647"/>
      <c r="Y70" s="647"/>
      <c r="Z70" s="648"/>
      <c r="AB70" s="447"/>
      <c r="AC70" s="615"/>
      <c r="AD70" s="616"/>
      <c r="AE70" s="616"/>
      <c r="AF70" s="617"/>
      <c r="AG70" s="369"/>
      <c r="AH70" s="369"/>
    </row>
    <row r="71" spans="1:37" ht="21" customHeight="1">
      <c r="B71" s="649"/>
      <c r="C71" s="650"/>
      <c r="D71" s="650"/>
      <c r="E71" s="650"/>
      <c r="F71" s="650"/>
      <c r="G71" s="650"/>
      <c r="H71" s="650"/>
      <c r="I71" s="651"/>
      <c r="J71" s="649"/>
      <c r="K71" s="650"/>
      <c r="L71" s="650"/>
      <c r="M71" s="650"/>
      <c r="N71" s="651"/>
      <c r="O71" s="649"/>
      <c r="P71" s="650"/>
      <c r="Q71" s="650"/>
      <c r="R71" s="650"/>
      <c r="S71" s="650"/>
      <c r="T71" s="650"/>
      <c r="U71" s="650"/>
      <c r="V71" s="650"/>
      <c r="W71" s="650"/>
      <c r="X71" s="650"/>
      <c r="Y71" s="650"/>
      <c r="Z71" s="651"/>
      <c r="AC71" s="614"/>
      <c r="AD71" s="614"/>
      <c r="AE71" s="614"/>
      <c r="AF71" s="614"/>
      <c r="AG71" s="367"/>
      <c r="AH71" s="367"/>
    </row>
    <row r="72" spans="1:37" ht="15" customHeight="1">
      <c r="B72" s="644" t="s">
        <v>767</v>
      </c>
      <c r="C72" s="644"/>
      <c r="D72" s="644"/>
      <c r="E72" s="644"/>
      <c r="F72" s="644"/>
      <c r="G72" s="644"/>
      <c r="H72" s="644"/>
      <c r="I72" s="644"/>
      <c r="J72" s="578" t="s">
        <v>768</v>
      </c>
      <c r="K72" s="578"/>
      <c r="L72" s="571"/>
      <c r="M72" s="571"/>
      <c r="N72" s="571"/>
      <c r="O72" s="578" t="s">
        <v>766</v>
      </c>
      <c r="P72" s="571"/>
      <c r="Q72" s="571"/>
      <c r="R72" s="571"/>
      <c r="S72" s="571"/>
      <c r="T72" s="571"/>
      <c r="U72" s="571"/>
      <c r="V72" s="571"/>
      <c r="W72" s="571"/>
      <c r="X72" s="571"/>
      <c r="Y72" s="571"/>
      <c r="Z72" s="571"/>
      <c r="AC72" s="612"/>
      <c r="AD72" s="612"/>
      <c r="AE72" s="612"/>
      <c r="AF72" s="612"/>
      <c r="AG72" s="367"/>
      <c r="AH72" s="367"/>
    </row>
    <row r="74" spans="1:37" ht="12.75" customHeight="1">
      <c r="A74" s="303"/>
      <c r="B74" s="303"/>
      <c r="L74" s="305"/>
      <c r="M74" s="611" t="s">
        <v>765</v>
      </c>
      <c r="N74" s="611"/>
      <c r="O74" s="611"/>
      <c r="P74" s="611"/>
      <c r="Q74" s="611"/>
      <c r="R74" s="611"/>
      <c r="S74" s="611"/>
      <c r="T74" s="611"/>
      <c r="U74" s="611"/>
      <c r="V74" s="611"/>
      <c r="W74" s="611"/>
      <c r="X74" s="611"/>
      <c r="Y74" s="611"/>
      <c r="Z74" s="611"/>
      <c r="AA74" s="611"/>
      <c r="AB74" s="448"/>
      <c r="AC74" s="436"/>
      <c r="AD74" s="436"/>
      <c r="AE74" s="436"/>
      <c r="AF74" s="436"/>
      <c r="AG74" s="371"/>
      <c r="AH74" s="371"/>
      <c r="AI74" s="371"/>
      <c r="AJ74" s="371"/>
      <c r="AK74" s="371"/>
    </row>
    <row r="75" spans="1:37" ht="19.5" customHeight="1">
      <c r="A75" s="365"/>
      <c r="B75" s="491" t="s">
        <v>733</v>
      </c>
      <c r="C75" s="491"/>
      <c r="D75" s="491"/>
      <c r="E75" s="491"/>
      <c r="F75" s="491"/>
      <c r="G75" s="491"/>
      <c r="H75" s="491"/>
      <c r="I75" s="491"/>
      <c r="J75" s="491"/>
      <c r="K75" s="491"/>
      <c r="L75" s="491"/>
      <c r="M75" s="611"/>
      <c r="N75" s="611"/>
      <c r="O75" s="611"/>
      <c r="P75" s="611"/>
      <c r="Q75" s="611"/>
      <c r="R75" s="611"/>
      <c r="S75" s="611"/>
      <c r="T75" s="611"/>
      <c r="U75" s="611"/>
      <c r="V75" s="611"/>
      <c r="W75" s="611"/>
      <c r="X75" s="611"/>
      <c r="Y75" s="611"/>
      <c r="Z75" s="611"/>
      <c r="AA75" s="611"/>
      <c r="AG75" s="367"/>
      <c r="AH75" s="367"/>
    </row>
    <row r="76" spans="1:37" ht="13.5" customHeight="1">
      <c r="A76" s="652"/>
      <c r="B76" s="652"/>
      <c r="C76" s="652"/>
      <c r="D76" s="652"/>
      <c r="E76" s="652"/>
      <c r="F76" s="652"/>
      <c r="G76" s="652"/>
      <c r="H76" s="652"/>
      <c r="I76" s="652"/>
      <c r="J76" s="652"/>
      <c r="K76" s="652"/>
      <c r="L76" s="652"/>
      <c r="M76" s="652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G76" s="367"/>
      <c r="AH76" s="367"/>
    </row>
    <row r="77" spans="1:37" ht="12.75" customHeight="1">
      <c r="A77" s="317"/>
      <c r="B77" s="641" t="s">
        <v>66</v>
      </c>
      <c r="C77" s="641"/>
      <c r="D77" s="641"/>
      <c r="E77" s="641"/>
      <c r="F77" s="641"/>
      <c r="G77" s="641"/>
      <c r="H77" s="318"/>
      <c r="I77" s="633" t="str">
        <f>+IF(+I4&gt;0,+I4," ")</f>
        <v xml:space="preserve"> </v>
      </c>
      <c r="J77" s="634"/>
      <c r="K77" s="634"/>
      <c r="L77" s="634"/>
      <c r="M77" s="635"/>
      <c r="O77" s="306"/>
      <c r="P77" s="375"/>
      <c r="Q77" s="375"/>
      <c r="R77" s="375"/>
      <c r="S77" s="375"/>
      <c r="T77" s="375"/>
      <c r="U77" s="375"/>
      <c r="V77" s="375"/>
      <c r="W77" s="375"/>
      <c r="X77" s="375"/>
      <c r="Y77" s="375"/>
      <c r="Z77" s="331"/>
      <c r="AG77" s="367"/>
      <c r="AH77" s="367"/>
    </row>
    <row r="78" spans="1:37" ht="12.75" customHeight="1">
      <c r="A78" s="317"/>
      <c r="B78" s="641" t="s">
        <v>88</v>
      </c>
      <c r="C78" s="641"/>
      <c r="D78" s="641"/>
      <c r="E78" s="641"/>
      <c r="F78" s="641"/>
      <c r="G78" s="641"/>
      <c r="H78" s="318"/>
      <c r="I78" s="633" t="str">
        <f>+IF(+I5&gt;0,+I5," ")</f>
        <v xml:space="preserve"> </v>
      </c>
      <c r="J78" s="634"/>
      <c r="K78" s="634"/>
      <c r="L78" s="634"/>
      <c r="M78" s="635"/>
      <c r="O78" s="306"/>
      <c r="P78" s="375"/>
      <c r="Q78" s="392"/>
      <c r="R78" s="392"/>
      <c r="S78" s="392"/>
      <c r="T78" s="392"/>
      <c r="U78" s="392"/>
      <c r="V78" s="331"/>
      <c r="W78" s="331"/>
      <c r="X78" s="331"/>
      <c r="Y78" s="331"/>
      <c r="Z78" s="331"/>
      <c r="AG78" s="367"/>
      <c r="AH78" s="367"/>
    </row>
    <row r="79" spans="1:37" ht="12.75" customHeight="1">
      <c r="A79" s="317"/>
      <c r="B79" s="317" t="s">
        <v>89</v>
      </c>
      <c r="C79" s="310"/>
      <c r="D79" s="310"/>
      <c r="E79" s="310"/>
      <c r="F79" s="310"/>
      <c r="G79" s="310"/>
      <c r="H79" s="318"/>
      <c r="I79" s="633" t="str">
        <f>+IF(+I6&gt;0,+I6," ")</f>
        <v xml:space="preserve"> </v>
      </c>
      <c r="J79" s="634"/>
      <c r="K79" s="634"/>
      <c r="L79" s="634"/>
      <c r="M79" s="635"/>
      <c r="O79" s="306"/>
      <c r="P79" s="375"/>
      <c r="Q79" s="392"/>
      <c r="R79" s="393"/>
      <c r="S79" s="350"/>
      <c r="T79" s="350"/>
      <c r="U79" s="350"/>
      <c r="V79" s="350"/>
      <c r="W79" s="350"/>
      <c r="X79" s="350"/>
      <c r="Y79" s="350"/>
      <c r="Z79" s="350"/>
      <c r="AG79" s="367"/>
      <c r="AH79" s="367"/>
    </row>
    <row r="80" spans="1:37" ht="12.75" customHeight="1">
      <c r="A80" s="317"/>
      <c r="B80" s="317" t="s">
        <v>439</v>
      </c>
      <c r="C80" s="310"/>
      <c r="D80" s="310"/>
      <c r="E80" s="310"/>
      <c r="F80" s="310"/>
      <c r="G80" s="310"/>
      <c r="H80" s="318"/>
      <c r="I80" s="324">
        <v>37</v>
      </c>
      <c r="J80" s="354"/>
      <c r="K80" s="423"/>
      <c r="L80" s="429" t="s">
        <v>410</v>
      </c>
      <c r="M80" s="356">
        <v>37</v>
      </c>
      <c r="N80" s="355">
        <f>I80/MAX(M80,1)</f>
        <v>1</v>
      </c>
      <c r="O80" s="306"/>
      <c r="P80" s="375"/>
      <c r="Q80" s="393"/>
      <c r="R80" s="393"/>
      <c r="S80" s="394"/>
      <c r="T80" s="394"/>
      <c r="U80" s="394"/>
      <c r="V80" s="394"/>
      <c r="W80" s="394"/>
      <c r="X80" s="394"/>
      <c r="Y80" s="394"/>
      <c r="Z80" s="394"/>
      <c r="AG80" s="367"/>
      <c r="AH80" s="367"/>
    </row>
    <row r="81" spans="1:34" ht="4.5" customHeight="1">
      <c r="A81" s="317"/>
      <c r="B81" s="358"/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P81" s="310"/>
      <c r="Q81" s="310"/>
      <c r="R81" s="310"/>
      <c r="S81" s="350"/>
      <c r="T81" s="350"/>
      <c r="U81" s="350"/>
      <c r="V81" s="350"/>
      <c r="W81" s="350"/>
      <c r="X81" s="350"/>
      <c r="Y81" s="350"/>
      <c r="Z81" s="350"/>
      <c r="AB81" s="449"/>
      <c r="AC81" s="444"/>
      <c r="AD81" s="444"/>
      <c r="AE81" s="444"/>
      <c r="AF81" s="444"/>
      <c r="AG81" s="370"/>
      <c r="AH81" s="370"/>
    </row>
    <row r="82" spans="1:34" ht="12.75" customHeight="1">
      <c r="A82" s="317"/>
      <c r="B82" s="359"/>
      <c r="C82" s="314"/>
      <c r="D82" s="314"/>
      <c r="E82" s="314"/>
      <c r="F82" s="314"/>
      <c r="G82" s="314"/>
      <c r="H82" s="314"/>
      <c r="I82" s="328">
        <f>+IF(+U85=7101,4,+IF(+U85=7001,3,+IF(+U85=3101,1,0)))</f>
        <v>0</v>
      </c>
      <c r="J82" s="314"/>
      <c r="K82" s="314"/>
      <c r="L82" s="340">
        <f>+IF(+I82=0,4,+(IF(+I82=1,7,+IF(+I82=3,14,+IF(+I82=4,18,4)))))</f>
        <v>4</v>
      </c>
      <c r="M82" s="306">
        <f>+IF(+I82=0,2,+(IF(+I82=1,6,+IF(+I82=3,12,+IF(+I82=4,16,2)))))</f>
        <v>2</v>
      </c>
      <c r="O82" s="306"/>
      <c r="P82" s="375"/>
      <c r="Q82" s="392"/>
      <c r="R82" s="393"/>
      <c r="S82" s="350"/>
      <c r="T82" s="350"/>
      <c r="U82" s="350"/>
      <c r="V82" s="350"/>
      <c r="W82" s="350"/>
      <c r="X82" s="350"/>
      <c r="Y82" s="350"/>
      <c r="Z82" s="350"/>
      <c r="AA82" s="325"/>
      <c r="AB82" s="449"/>
      <c r="AC82" s="444"/>
      <c r="AD82" s="444"/>
      <c r="AE82" s="444"/>
      <c r="AF82" s="444"/>
      <c r="AG82" s="370"/>
      <c r="AH82" s="370"/>
    </row>
    <row r="83" spans="1:34" ht="12.75" customHeight="1">
      <c r="A83" s="317"/>
      <c r="B83" s="456" t="s">
        <v>270</v>
      </c>
      <c r="C83" s="314"/>
      <c r="D83" s="314"/>
      <c r="E83" s="314"/>
      <c r="F83" s="314"/>
      <c r="G83" s="314"/>
      <c r="H83" s="315"/>
      <c r="I83" s="324"/>
      <c r="J83" s="339" t="s">
        <v>389</v>
      </c>
      <c r="K83" s="424"/>
      <c r="L83" s="481" t="s">
        <v>400</v>
      </c>
      <c r="M83" s="348">
        <f>VLOOKUP(+I82,TabelPctReg,2)</f>
        <v>31.779800000000002</v>
      </c>
      <c r="O83" s="306"/>
      <c r="P83" s="306"/>
      <c r="Q83" s="357"/>
      <c r="R83" s="357"/>
      <c r="S83" s="672"/>
      <c r="T83" s="672"/>
      <c r="U83" s="672"/>
      <c r="V83" s="672"/>
      <c r="W83" s="672"/>
      <c r="X83" s="672"/>
      <c r="Y83" s="672"/>
      <c r="Z83" s="672"/>
      <c r="AG83" s="367"/>
      <c r="AH83" s="367"/>
    </row>
    <row r="84" spans="1:34" ht="12.75" customHeight="1">
      <c r="A84" s="306"/>
      <c r="O84" s="366"/>
      <c r="P84" s="366"/>
      <c r="Q84" s="366"/>
      <c r="R84" s="357"/>
      <c r="S84" s="357"/>
      <c r="T84" s="357"/>
      <c r="U84" s="357"/>
      <c r="V84" s="357"/>
      <c r="W84" s="357"/>
      <c r="X84" s="357"/>
      <c r="Y84" s="357"/>
      <c r="Z84" s="357"/>
      <c r="AG84" s="367"/>
      <c r="AH84" s="367"/>
    </row>
    <row r="85" spans="1:34" ht="11.25" customHeight="1">
      <c r="A85" s="307"/>
      <c r="B85" s="307"/>
      <c r="C85" s="307"/>
      <c r="D85" s="307"/>
      <c r="E85" s="307"/>
      <c r="F85" s="307"/>
      <c r="G85" s="307"/>
      <c r="H85" s="307"/>
      <c r="I85" s="337" t="s">
        <v>162</v>
      </c>
      <c r="J85" s="337" t="s">
        <v>21</v>
      </c>
      <c r="K85" s="337"/>
      <c r="L85" s="337" t="s">
        <v>234</v>
      </c>
      <c r="M85" s="351" t="s">
        <v>235</v>
      </c>
      <c r="N85" s="308"/>
      <c r="O85" s="366"/>
      <c r="P85" s="350" t="s">
        <v>408</v>
      </c>
      <c r="Q85" s="350"/>
      <c r="R85" s="349"/>
      <c r="S85" s="349"/>
      <c r="T85" s="349"/>
      <c r="U85" s="660"/>
      <c r="V85" s="661"/>
      <c r="W85" s="661"/>
      <c r="X85" s="661"/>
      <c r="Y85" s="662"/>
      <c r="Z85" s="357"/>
      <c r="AB85" s="449"/>
      <c r="AC85" s="441"/>
      <c r="AD85" s="441"/>
      <c r="AE85" s="441"/>
      <c r="AF85" s="441"/>
      <c r="AG85" s="368"/>
      <c r="AH85" s="368"/>
    </row>
    <row r="86" spans="1:34" ht="11.25" customHeight="1">
      <c r="A86" s="309"/>
      <c r="B86" s="309"/>
      <c r="C86" s="309"/>
      <c r="D86" s="309"/>
      <c r="E86" s="309"/>
      <c r="F86" s="309"/>
      <c r="G86" s="309"/>
      <c r="H86" s="309"/>
      <c r="I86" s="337" t="s">
        <v>163</v>
      </c>
      <c r="J86" s="337" t="s">
        <v>123</v>
      </c>
      <c r="K86" s="337"/>
      <c r="L86" s="338">
        <f>Dato1</f>
        <v>42370</v>
      </c>
      <c r="M86" s="352">
        <f>Dato1</f>
        <v>42370</v>
      </c>
      <c r="N86" s="308"/>
      <c r="O86" s="306"/>
      <c r="P86" s="638" t="e">
        <f>+VLOOKUP(U85,Vejledning!1:1048576,2,1)</f>
        <v>#N/A</v>
      </c>
      <c r="Q86" s="638"/>
      <c r="R86" s="638"/>
      <c r="S86" s="638"/>
      <c r="T86" s="638"/>
      <c r="U86" s="638"/>
      <c r="V86" s="638"/>
      <c r="W86" s="638"/>
      <c r="X86" s="638"/>
      <c r="Y86" s="638"/>
      <c r="Z86" s="306"/>
      <c r="AB86" s="449"/>
      <c r="AC86" s="441"/>
      <c r="AD86" s="441"/>
      <c r="AE86" s="441"/>
      <c r="AF86" s="441"/>
      <c r="AG86" s="368"/>
      <c r="AH86" s="368"/>
    </row>
    <row r="87" spans="1:34" ht="11.25" customHeight="1">
      <c r="A87" s="310"/>
      <c r="B87" s="306"/>
      <c r="C87" s="306"/>
      <c r="D87" s="306"/>
      <c r="E87" s="306"/>
      <c r="F87" s="306"/>
      <c r="G87" s="306"/>
      <c r="H87" s="306"/>
      <c r="I87" s="338">
        <f>VLOOKUP(I82,TabelPctReg,3)</f>
        <v>36616</v>
      </c>
      <c r="J87" s="337"/>
      <c r="K87" s="337"/>
      <c r="L87" s="338" t="s">
        <v>399</v>
      </c>
      <c r="M87" s="352" t="s">
        <v>399</v>
      </c>
      <c r="N87" s="311"/>
      <c r="O87" s="342"/>
      <c r="P87" s="638"/>
      <c r="Q87" s="638"/>
      <c r="R87" s="638"/>
      <c r="S87" s="638"/>
      <c r="T87" s="638"/>
      <c r="U87" s="638"/>
      <c r="V87" s="638"/>
      <c r="W87" s="638"/>
      <c r="X87" s="638"/>
      <c r="Y87" s="638"/>
      <c r="Z87" s="389"/>
      <c r="AB87" s="449"/>
      <c r="AC87" s="441"/>
      <c r="AD87" s="441"/>
      <c r="AE87" s="441"/>
      <c r="AF87" s="441"/>
      <c r="AG87" s="368"/>
      <c r="AH87" s="368"/>
    </row>
    <row r="88" spans="1:34" ht="6.75" customHeight="1">
      <c r="A88" s="310"/>
      <c r="B88" s="306"/>
      <c r="C88" s="306"/>
      <c r="D88" s="306"/>
      <c r="E88" s="306"/>
      <c r="F88" s="306"/>
      <c r="G88" s="306"/>
      <c r="H88" s="306"/>
      <c r="I88" s="311"/>
      <c r="J88" s="334"/>
      <c r="K88" s="337"/>
      <c r="L88" s="336"/>
      <c r="M88" s="336"/>
      <c r="N88" s="311"/>
      <c r="O88" s="374"/>
      <c r="P88" s="638"/>
      <c r="Q88" s="638"/>
      <c r="R88" s="638"/>
      <c r="S88" s="638"/>
      <c r="T88" s="638"/>
      <c r="U88" s="638"/>
      <c r="V88" s="638"/>
      <c r="W88" s="638"/>
      <c r="X88" s="638"/>
      <c r="Y88" s="638"/>
      <c r="Z88" s="389"/>
      <c r="AB88" s="449"/>
      <c r="AC88" s="441"/>
      <c r="AD88" s="441"/>
      <c r="AE88" s="441"/>
      <c r="AF88" s="441"/>
      <c r="AG88" s="368"/>
      <c r="AH88" s="368"/>
    </row>
    <row r="89" spans="1:34" ht="12.75" customHeight="1">
      <c r="A89" s="317"/>
      <c r="B89" s="314" t="s">
        <v>391</v>
      </c>
      <c r="C89" s="314"/>
      <c r="D89" s="314"/>
      <c r="E89" s="314"/>
      <c r="F89" s="314"/>
      <c r="G89" s="314"/>
      <c r="H89" s="314"/>
      <c r="I89" s="417"/>
      <c r="J89" s="323"/>
      <c r="K89" s="337"/>
      <c r="L89" s="312">
        <f>ROUND(VLOOKUP(J89,TabelLøn,+L82,1)*N80,2)</f>
        <v>0</v>
      </c>
      <c r="M89" s="313">
        <f>L89*12</f>
        <v>0</v>
      </c>
      <c r="O89" s="374"/>
      <c r="P89" s="638"/>
      <c r="Q89" s="638"/>
      <c r="R89" s="638"/>
      <c r="S89" s="638"/>
      <c r="T89" s="638"/>
      <c r="U89" s="638"/>
      <c r="V89" s="638"/>
      <c r="W89" s="638"/>
      <c r="X89" s="638"/>
      <c r="Y89" s="638"/>
      <c r="Z89" s="389"/>
      <c r="AB89" s="449"/>
      <c r="AC89" s="441"/>
      <c r="AD89" s="441"/>
      <c r="AE89" s="441"/>
      <c r="AF89" s="441"/>
      <c r="AG89" s="368"/>
      <c r="AH89" s="368"/>
    </row>
    <row r="90" spans="1:34" ht="12.75" customHeight="1">
      <c r="A90" s="317"/>
      <c r="B90" s="314"/>
      <c r="C90" s="328" t="s">
        <v>390</v>
      </c>
      <c r="D90" s="314"/>
      <c r="E90" s="314"/>
      <c r="F90" s="314"/>
      <c r="G90" s="314"/>
      <c r="H90" s="315"/>
      <c r="I90" s="316"/>
      <c r="J90" s="426"/>
      <c r="K90" s="337"/>
      <c r="L90" s="312">
        <f>ROUND(I90/12*N80*((100+M83)/100),2)</f>
        <v>0</v>
      </c>
      <c r="M90" s="313">
        <f>L90*12</f>
        <v>0</v>
      </c>
      <c r="O90" s="375"/>
      <c r="P90" s="638"/>
      <c r="Q90" s="638"/>
      <c r="R90" s="638"/>
      <c r="S90" s="638"/>
      <c r="T90" s="638"/>
      <c r="U90" s="638"/>
      <c r="V90" s="638"/>
      <c r="W90" s="638"/>
      <c r="X90" s="638"/>
      <c r="Y90" s="638"/>
      <c r="Z90" s="375"/>
      <c r="AG90" s="367"/>
      <c r="AH90" s="367"/>
    </row>
    <row r="91" spans="1:34" ht="6" customHeight="1">
      <c r="A91" s="317"/>
      <c r="B91" s="317"/>
      <c r="C91" s="317"/>
      <c r="D91" s="317"/>
      <c r="E91" s="317"/>
      <c r="F91" s="317"/>
      <c r="G91" s="317"/>
      <c r="H91" s="317"/>
      <c r="I91" s="329"/>
      <c r="J91" s="308"/>
      <c r="K91" s="337"/>
      <c r="L91" s="329"/>
      <c r="M91" s="329"/>
      <c r="N91" s="317"/>
      <c r="O91" s="675" t="s">
        <v>728</v>
      </c>
      <c r="P91" s="675"/>
      <c r="Q91" s="675"/>
      <c r="R91" s="675"/>
      <c r="S91" s="675"/>
      <c r="T91" s="675"/>
      <c r="U91" s="675"/>
      <c r="V91" s="675"/>
      <c r="W91" s="675"/>
      <c r="X91" s="675"/>
      <c r="Y91" s="675"/>
      <c r="Z91" s="675"/>
      <c r="AG91" s="367"/>
      <c r="AH91" s="367"/>
    </row>
    <row r="92" spans="1:34" ht="12.75" customHeight="1">
      <c r="A92" s="317"/>
      <c r="B92" s="327" t="s">
        <v>145</v>
      </c>
      <c r="C92" s="327"/>
      <c r="D92" s="327"/>
      <c r="E92" s="310"/>
      <c r="F92" s="310"/>
      <c r="G92" s="310"/>
      <c r="H92" s="310"/>
      <c r="I92" s="310"/>
      <c r="J92" s="308"/>
      <c r="K92" s="337"/>
      <c r="L92" s="310"/>
      <c r="M92" s="310"/>
      <c r="N92" s="310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G92" s="367"/>
      <c r="AH92" s="367"/>
    </row>
    <row r="93" spans="1:34" ht="6" customHeight="1">
      <c r="A93" s="317"/>
      <c r="B93" s="310"/>
      <c r="C93" s="330" t="s">
        <v>388</v>
      </c>
      <c r="D93" s="306"/>
      <c r="E93" s="306"/>
      <c r="F93" s="306"/>
      <c r="G93" s="306"/>
      <c r="H93" s="306"/>
      <c r="I93" s="306"/>
      <c r="J93" s="331"/>
      <c r="K93" s="337"/>
      <c r="L93" s="306"/>
      <c r="M93" s="306"/>
      <c r="N93" s="306"/>
      <c r="O93" s="335"/>
      <c r="P93" s="335"/>
      <c r="Q93" s="335"/>
      <c r="R93" s="335"/>
      <c r="S93" s="335"/>
      <c r="T93" s="335"/>
      <c r="U93" s="335"/>
      <c r="V93" s="335"/>
      <c r="W93" s="335"/>
      <c r="X93" s="335"/>
      <c r="Y93" s="335"/>
      <c r="Z93" s="335"/>
      <c r="AG93" s="367"/>
      <c r="AH93" s="367"/>
    </row>
    <row r="94" spans="1:34" ht="12.75" customHeight="1">
      <c r="A94" s="317"/>
      <c r="B94" s="310"/>
      <c r="C94" s="306" t="s">
        <v>739</v>
      </c>
      <c r="D94" s="310"/>
      <c r="E94" s="310"/>
      <c r="F94" s="310"/>
      <c r="G94" s="310"/>
      <c r="H94" s="310"/>
      <c r="I94" s="417"/>
      <c r="J94" s="323"/>
      <c r="K94" s="337"/>
      <c r="L94" s="312">
        <f>ROUND((VLOOKUP(+J89+J94,TabelLøn,+L82,1)-VLOOKUP(J89,TabelLøn,+L82,1))*N80,2)</f>
        <v>0</v>
      </c>
      <c r="M94" s="313">
        <f>L94*12</f>
        <v>0</v>
      </c>
      <c r="O94" s="633"/>
      <c r="P94" s="634"/>
      <c r="Q94" s="634"/>
      <c r="R94" s="634"/>
      <c r="S94" s="634"/>
      <c r="T94" s="634"/>
      <c r="U94" s="634"/>
      <c r="V94" s="634"/>
      <c r="W94" s="634"/>
      <c r="X94" s="634"/>
      <c r="Y94" s="634"/>
      <c r="Z94" s="635"/>
      <c r="AG94" s="367"/>
      <c r="AH94" s="367"/>
    </row>
    <row r="95" spans="1:34" ht="12.75" customHeight="1">
      <c r="A95" s="317"/>
      <c r="B95" s="310"/>
      <c r="C95" s="306" t="s">
        <v>741</v>
      </c>
      <c r="D95" s="310"/>
      <c r="E95" s="310"/>
      <c r="F95" s="310"/>
      <c r="G95" s="310"/>
      <c r="H95" s="318"/>
      <c r="I95" s="316"/>
      <c r="J95" s="421"/>
      <c r="K95" s="337"/>
      <c r="L95" s="312">
        <f>ROUND(I95/12*N80*((100+M83)/100),2)</f>
        <v>0</v>
      </c>
      <c r="M95" s="313">
        <f>L95*12</f>
        <v>0</v>
      </c>
      <c r="O95" s="633"/>
      <c r="P95" s="634"/>
      <c r="Q95" s="634"/>
      <c r="R95" s="634"/>
      <c r="S95" s="634"/>
      <c r="T95" s="634"/>
      <c r="U95" s="634"/>
      <c r="V95" s="634"/>
      <c r="W95" s="634"/>
      <c r="X95" s="634"/>
      <c r="Y95" s="634"/>
      <c r="Z95" s="635"/>
      <c r="AG95" s="367"/>
      <c r="AH95" s="367"/>
    </row>
    <row r="96" spans="1:34" ht="6" customHeight="1">
      <c r="A96" s="317"/>
      <c r="B96" s="310"/>
      <c r="C96" s="330" t="s">
        <v>388</v>
      </c>
      <c r="D96" s="306"/>
      <c r="E96" s="306"/>
      <c r="F96" s="306"/>
      <c r="G96" s="306"/>
      <c r="H96" s="306"/>
      <c r="I96" s="306"/>
      <c r="J96" s="331"/>
      <c r="K96" s="337"/>
      <c r="L96" s="306"/>
      <c r="M96" s="306"/>
      <c r="N96" s="306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G96" s="367"/>
      <c r="AH96" s="367"/>
    </row>
    <row r="97" spans="1:34" ht="12.75" customHeight="1">
      <c r="A97" s="317"/>
      <c r="B97" s="310"/>
      <c r="C97" s="306" t="s">
        <v>393</v>
      </c>
      <c r="D97" s="310"/>
      <c r="E97" s="310"/>
      <c r="F97" s="310"/>
      <c r="G97" s="310"/>
      <c r="H97" s="310"/>
      <c r="I97" s="418"/>
      <c r="J97" s="323"/>
      <c r="K97" s="337"/>
      <c r="L97" s="312">
        <f>ROUND((VLOOKUP($J$89+J94+J97,TabelLøn,+L82,1)-VLOOKUP($J$89+J94,TabelLøn,+L82,1))*N80,2)</f>
        <v>0</v>
      </c>
      <c r="M97" s="313">
        <f t="shared" ref="M97:M104" si="2">L97*12</f>
        <v>0</v>
      </c>
      <c r="O97" s="633"/>
      <c r="P97" s="634"/>
      <c r="Q97" s="634"/>
      <c r="R97" s="634"/>
      <c r="S97" s="634"/>
      <c r="T97" s="634"/>
      <c r="U97" s="634"/>
      <c r="V97" s="634"/>
      <c r="W97" s="634"/>
      <c r="X97" s="634"/>
      <c r="Y97" s="634"/>
      <c r="Z97" s="635"/>
      <c r="AG97" s="367"/>
      <c r="AH97" s="367"/>
    </row>
    <row r="98" spans="1:34" ht="12.75" customHeight="1">
      <c r="A98" s="317"/>
      <c r="B98" s="310"/>
      <c r="C98" s="306" t="s">
        <v>393</v>
      </c>
      <c r="D98" s="310"/>
      <c r="E98" s="310"/>
      <c r="F98" s="310"/>
      <c r="G98" s="310"/>
      <c r="H98" s="310"/>
      <c r="I98" s="418"/>
      <c r="J98" s="323"/>
      <c r="K98" s="337"/>
      <c r="L98" s="312">
        <f>ROUND((VLOOKUP($J$89+J94+J97+J98,TabelLøn,+L82,1)-VLOOKUP($J$89+J94+J97,TabelLøn,+L82,1))*N80,2)</f>
        <v>0</v>
      </c>
      <c r="M98" s="313">
        <f t="shared" si="2"/>
        <v>0</v>
      </c>
      <c r="O98" s="633"/>
      <c r="P98" s="634"/>
      <c r="Q98" s="634"/>
      <c r="R98" s="634"/>
      <c r="S98" s="634"/>
      <c r="T98" s="634"/>
      <c r="U98" s="634"/>
      <c r="V98" s="634"/>
      <c r="W98" s="634"/>
      <c r="X98" s="634"/>
      <c r="Y98" s="634"/>
      <c r="Z98" s="635"/>
      <c r="AG98" s="367"/>
      <c r="AH98" s="367"/>
    </row>
    <row r="99" spans="1:34" ht="12.75" customHeight="1">
      <c r="A99" s="317"/>
      <c r="B99" s="310"/>
      <c r="C99" s="306" t="s">
        <v>393</v>
      </c>
      <c r="D99" s="310"/>
      <c r="E99" s="310"/>
      <c r="F99" s="310"/>
      <c r="G99" s="310"/>
      <c r="H99" s="310"/>
      <c r="I99" s="418"/>
      <c r="J99" s="323"/>
      <c r="K99" s="337"/>
      <c r="L99" s="312">
        <f>ROUND((VLOOKUP($J$89+J94+J97+J98+J99,TabelLøn,+L82,1)-VLOOKUP($J$89+J94+J97+J98,TabelLøn,+L82,1))*N80,2)</f>
        <v>0</v>
      </c>
      <c r="M99" s="313">
        <f t="shared" si="2"/>
        <v>0</v>
      </c>
      <c r="O99" s="633"/>
      <c r="P99" s="634"/>
      <c r="Q99" s="634"/>
      <c r="R99" s="634"/>
      <c r="S99" s="634"/>
      <c r="T99" s="634"/>
      <c r="U99" s="634"/>
      <c r="V99" s="634"/>
      <c r="W99" s="634"/>
      <c r="X99" s="634"/>
      <c r="Y99" s="634"/>
      <c r="Z99" s="635"/>
      <c r="AG99" s="367"/>
      <c r="AH99" s="367"/>
    </row>
    <row r="100" spans="1:34" ht="12.75" customHeight="1">
      <c r="A100" s="317"/>
      <c r="B100" s="310"/>
      <c r="C100" s="306" t="s">
        <v>393</v>
      </c>
      <c r="D100" s="310"/>
      <c r="E100" s="310"/>
      <c r="F100" s="310"/>
      <c r="G100" s="310"/>
      <c r="H100" s="310"/>
      <c r="I100" s="417"/>
      <c r="J100" s="323"/>
      <c r="K100" s="337"/>
      <c r="L100" s="312">
        <f>ROUND((VLOOKUP($J$89+J94+J97+J98+J99+J100,TabelLøn,+L82,1)-VLOOKUP($J$89+J94+J97+J98+J99,TabelLøn,+L82,1))*N80,2)</f>
        <v>0</v>
      </c>
      <c r="M100" s="313">
        <f t="shared" si="2"/>
        <v>0</v>
      </c>
      <c r="O100" s="633"/>
      <c r="P100" s="634"/>
      <c r="Q100" s="634"/>
      <c r="R100" s="634"/>
      <c r="S100" s="634"/>
      <c r="T100" s="634"/>
      <c r="U100" s="634"/>
      <c r="V100" s="634"/>
      <c r="W100" s="634"/>
      <c r="X100" s="634"/>
      <c r="Y100" s="634"/>
      <c r="Z100" s="635"/>
      <c r="AG100" s="367"/>
      <c r="AH100" s="367"/>
    </row>
    <row r="101" spans="1:34" ht="12.75" customHeight="1">
      <c r="A101" s="317"/>
      <c r="B101" s="310"/>
      <c r="C101" s="306" t="s">
        <v>394</v>
      </c>
      <c r="D101" s="310"/>
      <c r="E101" s="310"/>
      <c r="F101" s="310"/>
      <c r="G101" s="310"/>
      <c r="H101" s="318"/>
      <c r="I101" s="316"/>
      <c r="J101" s="419"/>
      <c r="K101" s="337"/>
      <c r="L101" s="312">
        <f>ROUND(I101/12*N80*((100+M83)/100),2)</f>
        <v>0</v>
      </c>
      <c r="M101" s="313">
        <f t="shared" si="2"/>
        <v>0</v>
      </c>
      <c r="O101" s="633"/>
      <c r="P101" s="634"/>
      <c r="Q101" s="634"/>
      <c r="R101" s="634"/>
      <c r="S101" s="634"/>
      <c r="T101" s="634"/>
      <c r="U101" s="634"/>
      <c r="V101" s="634"/>
      <c r="W101" s="634"/>
      <c r="X101" s="634"/>
      <c r="Y101" s="634"/>
      <c r="Z101" s="635"/>
      <c r="AG101" s="367"/>
      <c r="AH101" s="367"/>
    </row>
    <row r="102" spans="1:34" ht="12.75" customHeight="1">
      <c r="A102" s="317"/>
      <c r="B102" s="310"/>
      <c r="C102" s="306" t="s">
        <v>394</v>
      </c>
      <c r="D102" s="310"/>
      <c r="E102" s="310"/>
      <c r="F102" s="310"/>
      <c r="G102" s="310"/>
      <c r="H102" s="318"/>
      <c r="I102" s="316"/>
      <c r="J102" s="420"/>
      <c r="K102" s="337"/>
      <c r="L102" s="312">
        <f>ROUND(I102/12*N80*((100+M83)/100),2)</f>
        <v>0</v>
      </c>
      <c r="M102" s="313">
        <f t="shared" si="2"/>
        <v>0</v>
      </c>
      <c r="O102" s="633"/>
      <c r="P102" s="634"/>
      <c r="Q102" s="634"/>
      <c r="R102" s="634"/>
      <c r="S102" s="634"/>
      <c r="T102" s="634"/>
      <c r="U102" s="634"/>
      <c r="V102" s="634"/>
      <c r="W102" s="634"/>
      <c r="X102" s="634"/>
      <c r="Y102" s="634"/>
      <c r="Z102" s="635"/>
      <c r="AG102" s="367"/>
      <c r="AH102" s="367"/>
    </row>
    <row r="103" spans="1:34" ht="12.75" customHeight="1">
      <c r="A103" s="317"/>
      <c r="B103" s="310"/>
      <c r="C103" s="306" t="s">
        <v>394</v>
      </c>
      <c r="D103" s="310"/>
      <c r="E103" s="310"/>
      <c r="F103" s="310"/>
      <c r="G103" s="310"/>
      <c r="H103" s="318"/>
      <c r="I103" s="316"/>
      <c r="J103" s="420"/>
      <c r="K103" s="337"/>
      <c r="L103" s="312">
        <f>ROUND(I103/12*N80*((100+M83)/100),2)</f>
        <v>0</v>
      </c>
      <c r="M103" s="313">
        <f t="shared" si="2"/>
        <v>0</v>
      </c>
      <c r="O103" s="633"/>
      <c r="P103" s="634"/>
      <c r="Q103" s="634"/>
      <c r="R103" s="634"/>
      <c r="S103" s="634"/>
      <c r="T103" s="634"/>
      <c r="U103" s="634"/>
      <c r="V103" s="634"/>
      <c r="W103" s="634"/>
      <c r="X103" s="634"/>
      <c r="Y103" s="634"/>
      <c r="Z103" s="635"/>
      <c r="AG103" s="367"/>
      <c r="AH103" s="367"/>
    </row>
    <row r="104" spans="1:34" ht="12.75" customHeight="1">
      <c r="A104" s="317"/>
      <c r="B104" s="310"/>
      <c r="C104" s="306" t="s">
        <v>394</v>
      </c>
      <c r="D104" s="310"/>
      <c r="E104" s="310"/>
      <c r="F104" s="310"/>
      <c r="G104" s="310"/>
      <c r="H104" s="318"/>
      <c r="I104" s="316"/>
      <c r="J104" s="420"/>
      <c r="K104" s="337"/>
      <c r="L104" s="312">
        <f>ROUND(I104/12*N80*((100+M83)/100),2)</f>
        <v>0</v>
      </c>
      <c r="M104" s="313">
        <f t="shared" si="2"/>
        <v>0</v>
      </c>
      <c r="O104" s="633"/>
      <c r="P104" s="634"/>
      <c r="Q104" s="634"/>
      <c r="R104" s="634"/>
      <c r="S104" s="634"/>
      <c r="T104" s="634"/>
      <c r="U104" s="634"/>
      <c r="V104" s="634"/>
      <c r="W104" s="634"/>
      <c r="X104" s="634"/>
      <c r="Y104" s="634"/>
      <c r="Z104" s="635"/>
      <c r="AG104" s="367"/>
      <c r="AH104" s="367"/>
    </row>
    <row r="105" spans="1:34" ht="6" customHeight="1">
      <c r="A105" s="317"/>
      <c r="B105" s="310"/>
      <c r="C105" s="306"/>
      <c r="D105" s="306"/>
      <c r="E105" s="306"/>
      <c r="F105" s="306"/>
      <c r="G105" s="306"/>
      <c r="H105" s="306"/>
      <c r="I105" s="306"/>
      <c r="J105" s="331"/>
      <c r="K105" s="337"/>
      <c r="L105" s="306"/>
      <c r="M105" s="306"/>
      <c r="N105" s="306"/>
      <c r="O105" s="335"/>
      <c r="P105" s="335"/>
      <c r="Q105" s="335"/>
      <c r="R105" s="335"/>
      <c r="S105" s="335"/>
      <c r="T105" s="335"/>
      <c r="U105" s="335"/>
      <c r="V105" s="335"/>
      <c r="W105" s="335"/>
      <c r="X105" s="335"/>
      <c r="Y105" s="335"/>
      <c r="Z105" s="335"/>
      <c r="AG105" s="367"/>
      <c r="AH105" s="367"/>
    </row>
    <row r="106" spans="1:34" ht="12.75" customHeight="1">
      <c r="A106" s="317"/>
      <c r="B106" s="310"/>
      <c r="C106" s="306" t="s">
        <v>403</v>
      </c>
      <c r="D106" s="310"/>
      <c r="E106" s="310"/>
      <c r="F106" s="310"/>
      <c r="G106" s="310"/>
      <c r="H106" s="318"/>
      <c r="I106" s="316"/>
      <c r="J106" s="420"/>
      <c r="K106" s="337"/>
      <c r="L106" s="312">
        <f>ROUND(I106/12*N80*((100+M83)/100),2)</f>
        <v>0</v>
      </c>
      <c r="M106" s="313">
        <f>L106*12</f>
        <v>0</v>
      </c>
      <c r="O106" s="633"/>
      <c r="P106" s="634"/>
      <c r="Q106" s="634"/>
      <c r="R106" s="634"/>
      <c r="S106" s="634"/>
      <c r="T106" s="634"/>
      <c r="U106" s="634"/>
      <c r="V106" s="634"/>
      <c r="W106" s="634"/>
      <c r="X106" s="634"/>
      <c r="Y106" s="634"/>
      <c r="Z106" s="635"/>
      <c r="AG106" s="367"/>
      <c r="AH106" s="367"/>
    </row>
    <row r="107" spans="1:34" ht="12.75" customHeight="1">
      <c r="A107" s="317"/>
      <c r="B107" s="310"/>
      <c r="C107" s="306" t="s">
        <v>392</v>
      </c>
      <c r="D107" s="310"/>
      <c r="E107" s="310"/>
      <c r="F107" s="310"/>
      <c r="G107" s="310"/>
      <c r="H107" s="318"/>
      <c r="I107" s="316"/>
      <c r="J107" s="420"/>
      <c r="K107" s="337"/>
      <c r="L107" s="312">
        <f>ROUND(I107/12*N80*((100+M83)/100),2)</f>
        <v>0</v>
      </c>
      <c r="M107" s="313">
        <f>L107*12</f>
        <v>0</v>
      </c>
      <c r="O107" s="633"/>
      <c r="P107" s="634"/>
      <c r="Q107" s="634"/>
      <c r="R107" s="634"/>
      <c r="S107" s="634"/>
      <c r="T107" s="634"/>
      <c r="U107" s="634"/>
      <c r="V107" s="634"/>
      <c r="W107" s="634"/>
      <c r="X107" s="634"/>
      <c r="Y107" s="634"/>
      <c r="Z107" s="635"/>
      <c r="AG107" s="367"/>
      <c r="AH107" s="367"/>
    </row>
    <row r="108" spans="1:34" ht="6" customHeight="1">
      <c r="A108" s="317"/>
      <c r="B108" s="310"/>
      <c r="C108" s="330" t="s">
        <v>388</v>
      </c>
      <c r="D108" s="306"/>
      <c r="E108" s="306"/>
      <c r="F108" s="306"/>
      <c r="G108" s="306"/>
      <c r="H108" s="306"/>
      <c r="I108" s="306"/>
      <c r="J108" s="331"/>
      <c r="K108" s="337"/>
      <c r="L108" s="306"/>
      <c r="M108" s="306"/>
      <c r="N108" s="656" t="s">
        <v>451</v>
      </c>
      <c r="O108" s="656"/>
      <c r="P108" s="656"/>
      <c r="Q108" s="656"/>
      <c r="R108" s="656"/>
      <c r="S108" s="656"/>
      <c r="T108" s="656"/>
      <c r="U108" s="656"/>
      <c r="V108" s="656"/>
      <c r="W108" s="656"/>
      <c r="X108" s="656"/>
      <c r="Y108" s="656"/>
      <c r="Z108" s="656"/>
      <c r="AA108" s="656"/>
      <c r="AG108" s="367"/>
      <c r="AH108" s="367"/>
    </row>
    <row r="109" spans="1:34" ht="12.75" customHeight="1">
      <c r="A109" s="317"/>
      <c r="B109" s="327" t="s">
        <v>146</v>
      </c>
      <c r="C109" s="310"/>
      <c r="D109" s="310"/>
      <c r="E109" s="310"/>
      <c r="F109" s="310"/>
      <c r="G109" s="310"/>
      <c r="H109" s="310"/>
      <c r="I109" s="310"/>
      <c r="J109" s="308"/>
      <c r="K109" s="337"/>
      <c r="L109" s="310"/>
      <c r="M109" s="310"/>
      <c r="N109" s="656"/>
      <c r="O109" s="656"/>
      <c r="P109" s="656"/>
      <c r="Q109" s="656"/>
      <c r="R109" s="656"/>
      <c r="S109" s="656"/>
      <c r="T109" s="656"/>
      <c r="U109" s="656"/>
      <c r="V109" s="656"/>
      <c r="W109" s="656"/>
      <c r="X109" s="656"/>
      <c r="Y109" s="656"/>
      <c r="Z109" s="656"/>
      <c r="AA109" s="656"/>
      <c r="AG109" s="367"/>
      <c r="AH109" s="367"/>
    </row>
    <row r="110" spans="1:34" ht="6" customHeight="1">
      <c r="A110" s="317"/>
      <c r="B110" s="310"/>
      <c r="C110" s="330" t="s">
        <v>388</v>
      </c>
      <c r="D110" s="306"/>
      <c r="E110" s="306"/>
      <c r="F110" s="306"/>
      <c r="G110" s="306"/>
      <c r="H110" s="306"/>
      <c r="I110" s="306"/>
      <c r="J110" s="331"/>
      <c r="K110" s="337"/>
      <c r="L110" s="306"/>
      <c r="M110" s="306"/>
      <c r="N110" s="306"/>
      <c r="O110" s="335"/>
      <c r="P110" s="335"/>
      <c r="Q110" s="335"/>
      <c r="R110" s="335"/>
      <c r="S110" s="335"/>
      <c r="T110" s="335"/>
      <c r="U110" s="335"/>
      <c r="V110" s="335"/>
      <c r="W110" s="335"/>
      <c r="X110" s="335"/>
      <c r="Y110" s="335"/>
      <c r="Z110" s="335"/>
      <c r="AG110" s="367"/>
      <c r="AH110" s="367"/>
    </row>
    <row r="111" spans="1:34" ht="12.75" customHeight="1">
      <c r="A111" s="317"/>
      <c r="B111" s="310"/>
      <c r="C111" s="306" t="s">
        <v>740</v>
      </c>
      <c r="D111" s="310"/>
      <c r="E111" s="310"/>
      <c r="F111" s="310"/>
      <c r="G111" s="310"/>
      <c r="H111" s="310"/>
      <c r="I111" s="418"/>
      <c r="J111" s="323"/>
      <c r="K111" s="337"/>
      <c r="L111" s="312">
        <f>ROUND((VLOOKUP($J$89+J94+J97+J98+J99+J100+J111,TabelLøn,+L82,1)-VLOOKUP($J$89+J94+J97+J98+J99+J100,TabelLøn,+L82,1))*N80,2)</f>
        <v>0</v>
      </c>
      <c r="M111" s="313">
        <f t="shared" ref="M111:M116" si="3">L111*12</f>
        <v>0</v>
      </c>
      <c r="O111" s="633"/>
      <c r="P111" s="634"/>
      <c r="Q111" s="634"/>
      <c r="R111" s="634"/>
      <c r="S111" s="634"/>
      <c r="T111" s="634"/>
      <c r="U111" s="634"/>
      <c r="V111" s="634"/>
      <c r="W111" s="634"/>
      <c r="X111" s="634"/>
      <c r="Y111" s="634"/>
      <c r="Z111" s="635"/>
      <c r="AG111" s="367"/>
      <c r="AH111" s="367"/>
    </row>
    <row r="112" spans="1:34" ht="12.75" customHeight="1">
      <c r="A112" s="317"/>
      <c r="B112" s="310"/>
      <c r="C112" s="306" t="s">
        <v>740</v>
      </c>
      <c r="D112" s="310"/>
      <c r="E112" s="310"/>
      <c r="F112" s="310"/>
      <c r="G112" s="310"/>
      <c r="H112" s="310"/>
      <c r="I112" s="418"/>
      <c r="J112" s="323"/>
      <c r="K112" s="337"/>
      <c r="L112" s="312">
        <f>ROUND((VLOOKUP($J$89+J94+J97+J98+J99+J100+J111+J112,TabelLøn,+L82,1)-VLOOKUP($J$89+J94+J97+J98+J99+J100+J111,TabelLøn,+L82,1))*N80,2)</f>
        <v>0</v>
      </c>
      <c r="M112" s="313">
        <f t="shared" si="3"/>
        <v>0</v>
      </c>
      <c r="O112" s="633"/>
      <c r="P112" s="634"/>
      <c r="Q112" s="634"/>
      <c r="R112" s="634"/>
      <c r="S112" s="634"/>
      <c r="T112" s="634"/>
      <c r="U112" s="634"/>
      <c r="V112" s="634"/>
      <c r="W112" s="634"/>
      <c r="X112" s="634"/>
      <c r="Y112" s="634"/>
      <c r="Z112" s="635"/>
      <c r="AG112" s="367"/>
      <c r="AH112" s="367"/>
    </row>
    <row r="113" spans="1:34" ht="12.75" customHeight="1">
      <c r="A113" s="317"/>
      <c r="B113" s="310"/>
      <c r="C113" s="306" t="s">
        <v>740</v>
      </c>
      <c r="D113" s="310"/>
      <c r="E113" s="310"/>
      <c r="F113" s="310"/>
      <c r="G113" s="310"/>
      <c r="H113" s="310"/>
      <c r="I113" s="417"/>
      <c r="J113" s="323"/>
      <c r="K113" s="337"/>
      <c r="L113" s="312">
        <f>ROUND((VLOOKUP($J$89+J94+J97+J98+J99+J100+J111+J112+J113,TabelLøn,+L82,1)-VLOOKUP($J$89+J94+J97+J98+J99+J100+J111+J112,TabelLøn,+L82,1))*N80,2)</f>
        <v>0</v>
      </c>
      <c r="M113" s="313">
        <f t="shared" si="3"/>
        <v>0</v>
      </c>
      <c r="O113" s="633"/>
      <c r="P113" s="634"/>
      <c r="Q113" s="634"/>
      <c r="R113" s="634"/>
      <c r="S113" s="634"/>
      <c r="T113" s="634"/>
      <c r="U113" s="634"/>
      <c r="V113" s="634"/>
      <c r="W113" s="634"/>
      <c r="X113" s="634"/>
      <c r="Y113" s="634"/>
      <c r="Z113" s="635"/>
      <c r="AG113" s="367"/>
      <c r="AH113" s="367"/>
    </row>
    <row r="114" spans="1:34" ht="12.75" customHeight="1">
      <c r="A114" s="306"/>
      <c r="B114" s="310"/>
      <c r="C114" s="306" t="s">
        <v>742</v>
      </c>
      <c r="D114" s="310"/>
      <c r="E114" s="310"/>
      <c r="F114" s="310"/>
      <c r="G114" s="310"/>
      <c r="H114" s="318"/>
      <c r="I114" s="316"/>
      <c r="J114" s="421"/>
      <c r="K114" s="337"/>
      <c r="L114" s="312">
        <f>ROUND(I114/12*N80*((100+M83)/100),2)</f>
        <v>0</v>
      </c>
      <c r="M114" s="313">
        <f t="shared" si="3"/>
        <v>0</v>
      </c>
      <c r="O114" s="633"/>
      <c r="P114" s="634"/>
      <c r="Q114" s="634"/>
      <c r="R114" s="634"/>
      <c r="S114" s="634"/>
      <c r="T114" s="634"/>
      <c r="U114" s="634"/>
      <c r="V114" s="634"/>
      <c r="W114" s="634"/>
      <c r="X114" s="634"/>
      <c r="Y114" s="634"/>
      <c r="Z114" s="635"/>
      <c r="AG114" s="367"/>
      <c r="AH114" s="367"/>
    </row>
    <row r="115" spans="1:34" ht="12.75" customHeight="1">
      <c r="A115" s="306"/>
      <c r="B115" s="310"/>
      <c r="C115" s="306" t="s">
        <v>742</v>
      </c>
      <c r="D115" s="310"/>
      <c r="E115" s="310"/>
      <c r="F115" s="310"/>
      <c r="G115" s="310"/>
      <c r="H115" s="318"/>
      <c r="I115" s="316"/>
      <c r="J115" s="422"/>
      <c r="K115" s="337"/>
      <c r="L115" s="312">
        <f>ROUND(I115/12*N80*((100+M83)/100),2)</f>
        <v>0</v>
      </c>
      <c r="M115" s="313">
        <f t="shared" si="3"/>
        <v>0</v>
      </c>
      <c r="O115" s="633"/>
      <c r="P115" s="634"/>
      <c r="Q115" s="634"/>
      <c r="R115" s="634"/>
      <c r="S115" s="634"/>
      <c r="T115" s="634"/>
      <c r="U115" s="634"/>
      <c r="V115" s="634"/>
      <c r="W115" s="634"/>
      <c r="X115" s="634"/>
      <c r="Y115" s="634"/>
      <c r="Z115" s="635"/>
      <c r="AG115" s="367"/>
      <c r="AH115" s="367"/>
    </row>
    <row r="116" spans="1:34" ht="12.75" customHeight="1">
      <c r="A116" s="306"/>
      <c r="B116" s="310"/>
      <c r="C116" s="306" t="s">
        <v>742</v>
      </c>
      <c r="D116" s="310"/>
      <c r="E116" s="310"/>
      <c r="F116" s="310"/>
      <c r="G116" s="310"/>
      <c r="H116" s="318"/>
      <c r="I116" s="316"/>
      <c r="J116" s="422"/>
      <c r="K116" s="337"/>
      <c r="L116" s="312">
        <f>ROUND(I116/12*N80*((100+M83)/100),2)</f>
        <v>0</v>
      </c>
      <c r="M116" s="313">
        <f t="shared" si="3"/>
        <v>0</v>
      </c>
      <c r="O116" s="633"/>
      <c r="P116" s="634"/>
      <c r="Q116" s="634"/>
      <c r="R116" s="634"/>
      <c r="S116" s="634"/>
      <c r="T116" s="634"/>
      <c r="U116" s="634"/>
      <c r="V116" s="634"/>
      <c r="W116" s="634"/>
      <c r="X116" s="634"/>
      <c r="Y116" s="634"/>
      <c r="Z116" s="635"/>
      <c r="AG116" s="367"/>
      <c r="AH116" s="367"/>
    </row>
    <row r="117" spans="1:34" ht="6" customHeight="1">
      <c r="A117" s="317"/>
      <c r="B117" s="310"/>
      <c r="C117" s="306"/>
      <c r="D117" s="306"/>
      <c r="E117" s="306"/>
      <c r="F117" s="306"/>
      <c r="G117" s="306"/>
      <c r="H117" s="306"/>
      <c r="I117" s="306"/>
      <c r="J117" s="331"/>
      <c r="K117" s="337"/>
      <c r="L117" s="306"/>
      <c r="M117" s="306"/>
      <c r="N117" s="306"/>
      <c r="O117" s="335"/>
      <c r="P117" s="335"/>
      <c r="Q117" s="335"/>
      <c r="R117" s="335"/>
      <c r="S117" s="335"/>
      <c r="T117" s="335"/>
      <c r="U117" s="335"/>
      <c r="V117" s="335"/>
      <c r="W117" s="335"/>
      <c r="X117" s="335"/>
      <c r="Y117" s="335"/>
      <c r="Z117" s="335"/>
      <c r="AG117" s="367"/>
      <c r="AH117" s="367"/>
    </row>
    <row r="118" spans="1:34" ht="12.75" customHeight="1">
      <c r="A118" s="317"/>
      <c r="B118" s="310"/>
      <c r="C118" s="306" t="s">
        <v>401</v>
      </c>
      <c r="D118" s="310"/>
      <c r="E118" s="310"/>
      <c r="F118" s="310"/>
      <c r="G118" s="310"/>
      <c r="H118" s="310"/>
      <c r="I118" s="418"/>
      <c r="J118" s="323"/>
      <c r="K118" s="337"/>
      <c r="L118" s="312">
        <f>ROUND((VLOOKUP($J$89+J94+J97+J98+J99+J100+J111+J112+J113+J118,TabelLøn,+L82,1)-VLOOKUP($J$89+J94+J97+J98+J99+J100+J111+J112+J113,TabelLøn,+L82,1))*N80,2)</f>
        <v>0</v>
      </c>
      <c r="M118" s="313">
        <f t="shared" ref="M118:M125" si="4">L118*12</f>
        <v>0</v>
      </c>
      <c r="O118" s="633"/>
      <c r="P118" s="634"/>
      <c r="Q118" s="634"/>
      <c r="R118" s="634"/>
      <c r="S118" s="634"/>
      <c r="T118" s="634"/>
      <c r="U118" s="634"/>
      <c r="V118" s="634"/>
      <c r="W118" s="634"/>
      <c r="X118" s="634"/>
      <c r="Y118" s="634"/>
      <c r="Z118" s="635"/>
      <c r="AG118" s="367"/>
      <c r="AH118" s="367"/>
    </row>
    <row r="119" spans="1:34" ht="12.75" customHeight="1">
      <c r="A119" s="317"/>
      <c r="B119" s="310"/>
      <c r="C119" s="306" t="s">
        <v>401</v>
      </c>
      <c r="D119" s="310"/>
      <c r="E119" s="310"/>
      <c r="F119" s="310"/>
      <c r="G119" s="310"/>
      <c r="H119" s="310"/>
      <c r="I119" s="418"/>
      <c r="J119" s="323"/>
      <c r="K119" s="337"/>
      <c r="L119" s="312">
        <f>ROUND((VLOOKUP($J$89+J94+J97+J98+J99+J100+J111+J112+J113+J118+J119,TabelLøn,+L82,1)-VLOOKUP($J$89+J94+J97+J98+J99+J100+J111+J112+J113+J118,TabelLøn,+L82,1))*N80,2)</f>
        <v>0</v>
      </c>
      <c r="M119" s="313">
        <f t="shared" si="4"/>
        <v>0</v>
      </c>
      <c r="O119" s="633"/>
      <c r="P119" s="634"/>
      <c r="Q119" s="634"/>
      <c r="R119" s="634"/>
      <c r="S119" s="634"/>
      <c r="T119" s="634"/>
      <c r="U119" s="634"/>
      <c r="V119" s="634"/>
      <c r="W119" s="634"/>
      <c r="X119" s="634"/>
      <c r="Y119" s="634"/>
      <c r="Z119" s="635"/>
      <c r="AG119" s="367"/>
      <c r="AH119" s="367"/>
    </row>
    <row r="120" spans="1:34" ht="12.75" customHeight="1">
      <c r="A120" s="317"/>
      <c r="B120" s="310"/>
      <c r="C120" s="306" t="s">
        <v>401</v>
      </c>
      <c r="D120" s="310"/>
      <c r="E120" s="310"/>
      <c r="F120" s="310"/>
      <c r="G120" s="310"/>
      <c r="H120" s="310"/>
      <c r="I120" s="418"/>
      <c r="J120" s="323"/>
      <c r="K120" s="337"/>
      <c r="L120" s="312">
        <f>ROUND((VLOOKUP($J$89+J94+J97+J98+J99+J100+J111+J112+J113+J118+J119+J120,TabelLøn,+L82,1)-VLOOKUP($J$89+J94+J97+J98+J99+J100+J111+J112+J113+J118+J119,TabelLøn,+L82,1))*N80,2)</f>
        <v>0</v>
      </c>
      <c r="M120" s="313">
        <f t="shared" si="4"/>
        <v>0</v>
      </c>
      <c r="O120" s="633"/>
      <c r="P120" s="634"/>
      <c r="Q120" s="634"/>
      <c r="R120" s="634"/>
      <c r="S120" s="634"/>
      <c r="T120" s="634"/>
      <c r="U120" s="634"/>
      <c r="V120" s="634"/>
      <c r="W120" s="634"/>
      <c r="X120" s="634"/>
      <c r="Y120" s="634"/>
      <c r="Z120" s="635"/>
      <c r="AG120" s="367"/>
      <c r="AH120" s="367"/>
    </row>
    <row r="121" spans="1:34" ht="12.75" customHeight="1">
      <c r="A121" s="317"/>
      <c r="B121" s="310"/>
      <c r="C121" s="306" t="s">
        <v>401</v>
      </c>
      <c r="D121" s="310"/>
      <c r="E121" s="310"/>
      <c r="F121" s="310"/>
      <c r="G121" s="310"/>
      <c r="H121" s="310"/>
      <c r="I121" s="417"/>
      <c r="J121" s="323"/>
      <c r="K121" s="337"/>
      <c r="L121" s="312">
        <f>ROUND((VLOOKUP($J$89+J94+J97+J98+J99+J100+J111+J112+J113+J118+J119+J120+J121,TabelLøn,+L82,1)-VLOOKUP($J$89+J94+J97+J98+J99+J100+J111+J112+J113+J118+J119+J120,TabelLøn,+L82,1))*N80,2)</f>
        <v>0</v>
      </c>
      <c r="M121" s="313">
        <f t="shared" si="4"/>
        <v>0</v>
      </c>
      <c r="O121" s="633"/>
      <c r="P121" s="634"/>
      <c r="Q121" s="634"/>
      <c r="R121" s="634"/>
      <c r="S121" s="634"/>
      <c r="T121" s="634"/>
      <c r="U121" s="634"/>
      <c r="V121" s="634"/>
      <c r="W121" s="634"/>
      <c r="X121" s="634"/>
      <c r="Y121" s="634"/>
      <c r="Z121" s="635"/>
      <c r="AG121" s="367"/>
      <c r="AH121" s="367"/>
    </row>
    <row r="122" spans="1:34" ht="12.75" customHeight="1">
      <c r="A122" s="317"/>
      <c r="B122" s="310"/>
      <c r="C122" s="306" t="s">
        <v>402</v>
      </c>
      <c r="D122" s="310"/>
      <c r="E122" s="310"/>
      <c r="F122" s="310"/>
      <c r="G122" s="310"/>
      <c r="H122" s="318"/>
      <c r="I122" s="316"/>
      <c r="J122" s="421"/>
      <c r="K122" s="337"/>
      <c r="L122" s="312">
        <f>ROUND(I122/12*N80*((100+M83)/100),2)</f>
        <v>0</v>
      </c>
      <c r="M122" s="313">
        <f t="shared" si="4"/>
        <v>0</v>
      </c>
      <c r="O122" s="633"/>
      <c r="P122" s="634"/>
      <c r="Q122" s="634"/>
      <c r="R122" s="634"/>
      <c r="S122" s="634"/>
      <c r="T122" s="634"/>
      <c r="U122" s="634"/>
      <c r="V122" s="634"/>
      <c r="W122" s="634"/>
      <c r="X122" s="634"/>
      <c r="Y122" s="634"/>
      <c r="Z122" s="635"/>
      <c r="AG122" s="367"/>
      <c r="AH122" s="367"/>
    </row>
    <row r="123" spans="1:34" ht="12.75" customHeight="1">
      <c r="A123" s="317"/>
      <c r="B123" s="310"/>
      <c r="C123" s="306" t="s">
        <v>402</v>
      </c>
      <c r="D123" s="310"/>
      <c r="E123" s="310"/>
      <c r="F123" s="310"/>
      <c r="G123" s="310"/>
      <c r="H123" s="318"/>
      <c r="I123" s="316"/>
      <c r="J123" s="422"/>
      <c r="K123" s="337"/>
      <c r="L123" s="312">
        <f>ROUND(I123/12*N80*((100+M83)/100),2)</f>
        <v>0</v>
      </c>
      <c r="M123" s="313">
        <f t="shared" si="4"/>
        <v>0</v>
      </c>
      <c r="O123" s="633"/>
      <c r="P123" s="634"/>
      <c r="Q123" s="634"/>
      <c r="R123" s="634"/>
      <c r="S123" s="634"/>
      <c r="T123" s="634"/>
      <c r="U123" s="634"/>
      <c r="V123" s="634"/>
      <c r="W123" s="634"/>
      <c r="X123" s="634"/>
      <c r="Y123" s="634"/>
      <c r="Z123" s="635"/>
      <c r="AG123" s="367"/>
      <c r="AH123" s="367"/>
    </row>
    <row r="124" spans="1:34" ht="12.75" customHeight="1">
      <c r="A124" s="317"/>
      <c r="B124" s="310"/>
      <c r="C124" s="306" t="s">
        <v>402</v>
      </c>
      <c r="D124" s="310"/>
      <c r="E124" s="310"/>
      <c r="F124" s="310"/>
      <c r="G124" s="310"/>
      <c r="H124" s="318"/>
      <c r="I124" s="316"/>
      <c r="J124" s="422"/>
      <c r="K124" s="337"/>
      <c r="L124" s="312">
        <f>ROUND(I124/12*N80*((100+M83)/100),2)</f>
        <v>0</v>
      </c>
      <c r="M124" s="313">
        <f t="shared" si="4"/>
        <v>0</v>
      </c>
      <c r="O124" s="633"/>
      <c r="P124" s="634"/>
      <c r="Q124" s="634"/>
      <c r="R124" s="634"/>
      <c r="S124" s="634"/>
      <c r="T124" s="634"/>
      <c r="U124" s="634"/>
      <c r="V124" s="634"/>
      <c r="W124" s="634"/>
      <c r="X124" s="634"/>
      <c r="Y124" s="634"/>
      <c r="Z124" s="635"/>
      <c r="AG124" s="367"/>
      <c r="AH124" s="367"/>
    </row>
    <row r="125" spans="1:34" ht="12.75" customHeight="1">
      <c r="A125" s="317"/>
      <c r="B125" s="310"/>
      <c r="C125" s="306" t="s">
        <v>402</v>
      </c>
      <c r="D125" s="310"/>
      <c r="E125" s="310"/>
      <c r="F125" s="310"/>
      <c r="G125" s="310"/>
      <c r="H125" s="318"/>
      <c r="I125" s="316"/>
      <c r="J125" s="422"/>
      <c r="K125" s="337"/>
      <c r="L125" s="312">
        <f>ROUND(I125/12*N80*((100+M83)/100),2)</f>
        <v>0</v>
      </c>
      <c r="M125" s="313">
        <f t="shared" si="4"/>
        <v>0</v>
      </c>
      <c r="O125" s="633"/>
      <c r="P125" s="634"/>
      <c r="Q125" s="634"/>
      <c r="R125" s="634"/>
      <c r="S125" s="634"/>
      <c r="T125" s="634"/>
      <c r="U125" s="634"/>
      <c r="V125" s="634"/>
      <c r="W125" s="634"/>
      <c r="X125" s="634"/>
      <c r="Y125" s="634"/>
      <c r="Z125" s="635"/>
      <c r="AG125" s="367"/>
      <c r="AH125" s="367"/>
    </row>
    <row r="126" spans="1:34" ht="6" customHeight="1">
      <c r="A126" s="317"/>
      <c r="B126" s="310"/>
      <c r="C126" s="306"/>
      <c r="D126" s="306"/>
      <c r="E126" s="306"/>
      <c r="F126" s="306"/>
      <c r="G126" s="306"/>
      <c r="H126" s="306"/>
      <c r="I126" s="306"/>
      <c r="J126" s="331"/>
      <c r="K126" s="337"/>
      <c r="L126" s="306"/>
      <c r="M126" s="306"/>
      <c r="N126" s="306"/>
      <c r="O126" s="335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/>
      <c r="Z126" s="335"/>
      <c r="AG126" s="367"/>
      <c r="AH126" s="367"/>
    </row>
    <row r="127" spans="1:34" ht="12.75" customHeight="1">
      <c r="A127" s="317"/>
      <c r="B127" s="328" t="s">
        <v>404</v>
      </c>
      <c r="C127" s="314"/>
      <c r="D127" s="314"/>
      <c r="E127" s="314"/>
      <c r="F127" s="314"/>
      <c r="G127" s="314"/>
      <c r="H127" s="315"/>
      <c r="I127" s="316"/>
      <c r="J127" s="323"/>
      <c r="K127" s="337"/>
      <c r="L127" s="312">
        <f>ROUND((VLOOKUP(SUM(J89:J127),TabelLøn,+L82,1)-VLOOKUP(SUM(J89:J125),TabelLøn,+L82,1))*N80,2)+ROUND(I127/12*N80*((100+M83)/100),2)</f>
        <v>0</v>
      </c>
      <c r="M127" s="313">
        <f>L127*12</f>
        <v>0</v>
      </c>
      <c r="O127" s="335"/>
      <c r="P127" s="335"/>
      <c r="Q127" s="335"/>
      <c r="R127" s="335"/>
      <c r="S127" s="335"/>
      <c r="T127" s="335"/>
      <c r="U127" s="335"/>
      <c r="V127" s="335"/>
      <c r="W127" s="335"/>
      <c r="X127" s="335"/>
      <c r="Y127" s="335"/>
      <c r="Z127" s="335"/>
      <c r="AG127" s="367"/>
      <c r="AH127" s="367"/>
    </row>
    <row r="128" spans="1:34" ht="12.75" customHeight="1">
      <c r="A128" s="317"/>
      <c r="B128" s="328" t="s">
        <v>405</v>
      </c>
      <c r="C128" s="314"/>
      <c r="D128" s="314"/>
      <c r="E128" s="314"/>
      <c r="F128" s="314"/>
      <c r="G128" s="314"/>
      <c r="H128" s="315"/>
      <c r="I128" s="316"/>
      <c r="J128" s="421"/>
      <c r="K128" s="337"/>
      <c r="L128" s="312">
        <f>ROUND(I128/12*N80*(1+PctRegNyLøn%),2)</f>
        <v>0</v>
      </c>
      <c r="M128" s="313">
        <f>L128*12</f>
        <v>0</v>
      </c>
      <c r="O128" s="335"/>
      <c r="P128" s="335"/>
      <c r="Q128" s="335"/>
      <c r="R128" s="335"/>
      <c r="S128" s="335"/>
      <c r="T128" s="335"/>
      <c r="U128" s="335"/>
      <c r="V128" s="335"/>
      <c r="W128" s="335"/>
      <c r="X128" s="335"/>
      <c r="Y128" s="335"/>
      <c r="Z128" s="335"/>
      <c r="AG128" s="367"/>
      <c r="AH128" s="367"/>
    </row>
    <row r="129" spans="1:34" ht="6" customHeight="1">
      <c r="A129" s="317"/>
      <c r="B129" s="310"/>
      <c r="C129" s="306"/>
      <c r="D129" s="306"/>
      <c r="E129" s="306"/>
      <c r="F129" s="306"/>
      <c r="G129" s="306"/>
      <c r="H129" s="306"/>
      <c r="I129" s="306"/>
      <c r="J129" s="331"/>
      <c r="K129" s="337"/>
      <c r="L129" s="306"/>
      <c r="M129" s="306"/>
      <c r="N129" s="306"/>
      <c r="O129" s="335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G129" s="367"/>
      <c r="AH129" s="367"/>
    </row>
    <row r="130" spans="1:34" ht="12.75" customHeight="1">
      <c r="A130" s="317"/>
      <c r="B130" s="328" t="s">
        <v>406</v>
      </c>
      <c r="C130" s="314"/>
      <c r="D130" s="314"/>
      <c r="E130" s="314"/>
      <c r="F130" s="314"/>
      <c r="G130" s="314"/>
      <c r="H130" s="315"/>
      <c r="I130" s="316"/>
      <c r="J130" s="422"/>
      <c r="K130" s="337"/>
      <c r="L130" s="312">
        <f>ROUND(I130/12*N80*(1+PctRegNyLøn%),2)</f>
        <v>0</v>
      </c>
      <c r="M130" s="313">
        <f>L130*12</f>
        <v>0</v>
      </c>
      <c r="O130" s="335"/>
      <c r="P130" s="335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G130" s="367"/>
      <c r="AH130" s="367"/>
    </row>
    <row r="131" spans="1:34" ht="12.75" customHeight="1">
      <c r="A131" s="317"/>
      <c r="B131" s="310"/>
      <c r="C131" s="306"/>
      <c r="D131" s="306"/>
      <c r="E131" s="306"/>
      <c r="F131" s="306"/>
      <c r="G131" s="306"/>
      <c r="H131" s="306"/>
      <c r="I131" s="306"/>
      <c r="J131" s="331"/>
      <c r="K131" s="337"/>
      <c r="L131" s="306"/>
      <c r="M131" s="306"/>
      <c r="N131" s="306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G131" s="367"/>
      <c r="AH131" s="367"/>
    </row>
    <row r="132" spans="1:34" ht="12.75" customHeight="1">
      <c r="A132" s="317"/>
      <c r="B132" s="314" t="s">
        <v>411</v>
      </c>
      <c r="C132" s="320"/>
      <c r="D132" s="320"/>
      <c r="E132" s="320"/>
      <c r="F132" s="320"/>
      <c r="G132" s="320"/>
      <c r="H132" s="321"/>
      <c r="I132" s="360">
        <f>SUM(I89:I130)</f>
        <v>0</v>
      </c>
      <c r="J132" s="361">
        <f>SUM(J89:J130)</f>
        <v>0</v>
      </c>
      <c r="K132" s="337"/>
      <c r="L132" s="345">
        <f>SUM(L89:L130)</f>
        <v>0</v>
      </c>
      <c r="M132" s="313">
        <f>SUM(M89:M130)</f>
        <v>0</v>
      </c>
      <c r="Q132" s="319"/>
      <c r="R132" s="319"/>
      <c r="AG132" s="367"/>
      <c r="AH132" s="367"/>
    </row>
    <row r="133" spans="1:34" ht="6" customHeight="1">
      <c r="A133" s="317"/>
      <c r="B133" s="310"/>
      <c r="C133" s="306"/>
      <c r="D133" s="306"/>
      <c r="E133" s="306"/>
      <c r="F133" s="306"/>
      <c r="G133" s="306"/>
      <c r="H133" s="306"/>
      <c r="I133" s="306"/>
      <c r="J133" s="331"/>
      <c r="K133" s="337"/>
      <c r="L133" s="306"/>
      <c r="M133" s="306"/>
      <c r="N133" s="306"/>
      <c r="O133" s="335"/>
      <c r="P133" s="335"/>
      <c r="Q133" s="319"/>
      <c r="R133" s="319"/>
      <c r="S133" s="335"/>
      <c r="T133" s="335"/>
      <c r="U133" s="335"/>
      <c r="V133" s="335"/>
      <c r="W133" s="335"/>
      <c r="X133" s="335"/>
      <c r="Y133" s="335"/>
      <c r="Z133" s="335"/>
      <c r="AG133" s="367"/>
      <c r="AH133" s="367"/>
    </row>
    <row r="134" spans="1:34" ht="12.75" customHeight="1">
      <c r="A134" s="317"/>
      <c r="B134" s="328" t="s">
        <v>412</v>
      </c>
      <c r="C134" s="328" t="s">
        <v>22</v>
      </c>
      <c r="D134" s="310"/>
      <c r="E134" s="310"/>
      <c r="F134" s="310"/>
      <c r="G134" s="310"/>
      <c r="H134" s="310"/>
      <c r="I134" s="343"/>
      <c r="J134" s="331"/>
      <c r="K134" s="337"/>
      <c r="L134" s="312">
        <f>ROUND(VLOOKUP(J132,TabelLønninger,+M82,2)*I83/100/12*(I80/M80),2)+(+I83/100*(L90+L95+L101+L102+L103+L104+L114+L116+L115+L122+L123+L124+L125+L127+L130))</f>
        <v>0</v>
      </c>
      <c r="M134" s="313">
        <f>L134*12</f>
        <v>0</v>
      </c>
      <c r="Q134" s="319"/>
      <c r="R134" s="319"/>
      <c r="AG134" s="367"/>
      <c r="AH134" s="367"/>
    </row>
    <row r="135" spans="1:34" ht="12.75" customHeight="1">
      <c r="A135" s="317"/>
      <c r="B135" s="314" t="s">
        <v>407</v>
      </c>
      <c r="C135" s="328"/>
      <c r="D135" s="320"/>
      <c r="E135" s="320"/>
      <c r="F135" s="320"/>
      <c r="G135" s="320"/>
      <c r="H135" s="320"/>
      <c r="I135" s="343"/>
      <c r="J135" s="362"/>
      <c r="K135" s="344"/>
      <c r="L135" s="345">
        <f>SUM(L132:L134)</f>
        <v>0</v>
      </c>
      <c r="M135" s="346">
        <f>SUM(M132:M134)</f>
        <v>0</v>
      </c>
      <c r="Q135" s="322"/>
      <c r="R135" s="322"/>
      <c r="AG135" s="367"/>
      <c r="AH135" s="367"/>
    </row>
    <row r="136" spans="1:34" ht="12.75" customHeight="1">
      <c r="A136" s="317"/>
      <c r="B136" s="314"/>
      <c r="C136" s="328"/>
      <c r="D136" s="320"/>
      <c r="E136" s="320"/>
      <c r="F136" s="320"/>
      <c r="G136" s="320"/>
      <c r="H136" s="320"/>
      <c r="I136" s="343"/>
      <c r="J136" s="362"/>
      <c r="K136" s="362"/>
      <c r="L136" s="363"/>
      <c r="M136" s="363"/>
      <c r="Q136" s="322"/>
      <c r="R136" s="322"/>
      <c r="AG136" s="367"/>
      <c r="AH136" s="367"/>
    </row>
    <row r="137" spans="1:34" ht="12" customHeight="1">
      <c r="A137" s="317"/>
      <c r="AG137" s="367"/>
      <c r="AH137" s="367"/>
    </row>
    <row r="138" spans="1:34" ht="12" customHeight="1">
      <c r="A138" s="395"/>
      <c r="B138" s="377"/>
      <c r="C138" s="676" t="s">
        <v>432</v>
      </c>
      <c r="D138" s="676"/>
      <c r="E138" s="676"/>
      <c r="F138" s="676"/>
      <c r="G138" s="676"/>
      <c r="H138" s="676"/>
      <c r="I138" s="676"/>
      <c r="J138" s="676"/>
      <c r="K138" s="676"/>
      <c r="L138" s="676"/>
      <c r="M138" s="676"/>
      <c r="N138" s="676"/>
      <c r="O138" s="676"/>
      <c r="P138" s="676"/>
      <c r="Q138" s="676"/>
      <c r="R138" s="676"/>
      <c r="S138" s="676"/>
      <c r="T138" s="676"/>
      <c r="U138" s="676"/>
      <c r="V138" s="676"/>
      <c r="W138" s="676"/>
      <c r="X138" s="676"/>
      <c r="Y138" s="676"/>
      <c r="Z138" s="377"/>
      <c r="AA138" s="378"/>
      <c r="AG138" s="367"/>
      <c r="AH138" s="367"/>
    </row>
    <row r="139" spans="1:34" ht="12" customHeight="1">
      <c r="A139" s="396"/>
      <c r="B139" s="306"/>
      <c r="C139" s="677"/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7"/>
      <c r="R139" s="677"/>
      <c r="S139" s="677"/>
      <c r="T139" s="677"/>
      <c r="U139" s="677"/>
      <c r="V139" s="677"/>
      <c r="W139" s="677"/>
      <c r="X139" s="677"/>
      <c r="Y139" s="677"/>
      <c r="Z139" s="306"/>
      <c r="AA139" s="384"/>
      <c r="AG139" s="367"/>
      <c r="AH139" s="367"/>
    </row>
    <row r="140" spans="1:34" ht="12" customHeight="1">
      <c r="A140" s="396"/>
      <c r="B140" s="306"/>
      <c r="C140" s="306"/>
      <c r="D140" s="306"/>
      <c r="E140" s="306"/>
      <c r="F140" s="306"/>
      <c r="G140" s="306"/>
      <c r="H140" s="306"/>
      <c r="I140" s="306"/>
      <c r="J140" s="331"/>
      <c r="K140" s="331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84"/>
      <c r="AG140" s="367"/>
      <c r="AH140" s="367"/>
    </row>
    <row r="141" spans="1:34" ht="12.75" customHeight="1">
      <c r="A141" s="379"/>
      <c r="B141" s="306"/>
      <c r="C141" s="403" t="s">
        <v>437</v>
      </c>
      <c r="D141" s="306"/>
      <c r="E141" s="306"/>
      <c r="F141" s="306"/>
      <c r="G141" s="306"/>
      <c r="H141" s="306"/>
      <c r="I141" s="306"/>
      <c r="J141" s="331"/>
      <c r="K141" s="331"/>
      <c r="L141" s="407">
        <f>+L60-L132</f>
        <v>0</v>
      </c>
      <c r="M141" s="403" t="s">
        <v>430</v>
      </c>
      <c r="N141" s="403"/>
      <c r="O141" s="405"/>
      <c r="P141" s="453"/>
      <c r="Q141" s="673">
        <f>+L141*12</f>
        <v>0</v>
      </c>
      <c r="R141" s="673"/>
      <c r="S141" s="673"/>
      <c r="T141" s="673"/>
      <c r="U141" s="673"/>
      <c r="V141" s="405"/>
      <c r="W141" s="405" t="s">
        <v>431</v>
      </c>
      <c r="X141" s="405"/>
      <c r="Y141" s="405"/>
      <c r="Z141" s="306"/>
      <c r="AA141" s="384"/>
      <c r="AG141" s="367"/>
      <c r="AH141" s="367"/>
    </row>
    <row r="142" spans="1:34" ht="6.75" customHeight="1">
      <c r="A142" s="379"/>
      <c r="B142" s="306"/>
      <c r="C142" s="403"/>
      <c r="D142" s="306"/>
      <c r="E142" s="306"/>
      <c r="F142" s="306"/>
      <c r="G142" s="306"/>
      <c r="H142" s="306"/>
      <c r="I142" s="306"/>
      <c r="J142" s="331"/>
      <c r="K142" s="331"/>
      <c r="L142" s="405"/>
      <c r="M142" s="405"/>
      <c r="N142" s="405"/>
      <c r="O142" s="405"/>
      <c r="P142" s="405"/>
      <c r="Q142" s="405"/>
      <c r="R142" s="406"/>
      <c r="S142" s="406"/>
      <c r="T142" s="406"/>
      <c r="U142" s="406"/>
      <c r="V142" s="405"/>
      <c r="W142" s="405"/>
      <c r="X142" s="405"/>
      <c r="Y142" s="405"/>
      <c r="Z142" s="306"/>
      <c r="AA142" s="384"/>
      <c r="AG142" s="367"/>
      <c r="AH142" s="367"/>
    </row>
    <row r="143" spans="1:34" s="353" customFormat="1" ht="12.75" customHeight="1">
      <c r="A143" s="397"/>
      <c r="B143" s="306"/>
      <c r="C143" s="403" t="s">
        <v>438</v>
      </c>
      <c r="D143" s="306"/>
      <c r="E143" s="306"/>
      <c r="F143" s="306"/>
      <c r="G143" s="306"/>
      <c r="H143" s="306"/>
      <c r="I143" s="306"/>
      <c r="J143" s="331"/>
      <c r="K143" s="331"/>
      <c r="L143" s="404">
        <f>+L62-L134</f>
        <v>0</v>
      </c>
      <c r="M143" s="405" t="s">
        <v>430</v>
      </c>
      <c r="N143" s="405"/>
      <c r="O143" s="405"/>
      <c r="P143" s="405"/>
      <c r="Q143" s="673">
        <f>+L143*12</f>
        <v>0</v>
      </c>
      <c r="R143" s="673"/>
      <c r="S143" s="673"/>
      <c r="T143" s="673"/>
      <c r="U143" s="673"/>
      <c r="V143" s="405"/>
      <c r="W143" s="405" t="s">
        <v>431</v>
      </c>
      <c r="X143" s="405"/>
      <c r="Y143" s="405"/>
      <c r="Z143" s="306"/>
      <c r="AA143" s="398"/>
      <c r="AB143" s="447"/>
      <c r="AC143" s="445"/>
      <c r="AD143" s="445"/>
      <c r="AE143" s="445"/>
      <c r="AF143" s="445"/>
      <c r="AG143" s="369"/>
      <c r="AH143" s="369"/>
    </row>
    <row r="144" spans="1:34" ht="21" customHeight="1">
      <c r="A144" s="379"/>
      <c r="B144" s="306"/>
      <c r="C144" s="403" t="s">
        <v>429</v>
      </c>
      <c r="D144" s="306"/>
      <c r="E144" s="306"/>
      <c r="F144" s="306"/>
      <c r="G144" s="306"/>
      <c r="H144" s="306"/>
      <c r="I144" s="306"/>
      <c r="J144" s="331"/>
      <c r="K144" s="331"/>
      <c r="L144" s="404">
        <f>+L63-L135</f>
        <v>0</v>
      </c>
      <c r="M144" s="405" t="s">
        <v>430</v>
      </c>
      <c r="N144" s="405"/>
      <c r="O144" s="405"/>
      <c r="P144" s="405"/>
      <c r="Q144" s="674">
        <f>+L144*12</f>
        <v>0</v>
      </c>
      <c r="R144" s="674"/>
      <c r="S144" s="674"/>
      <c r="T144" s="674"/>
      <c r="U144" s="674"/>
      <c r="V144" s="403"/>
      <c r="W144" s="403" t="s">
        <v>431</v>
      </c>
      <c r="X144" s="403"/>
      <c r="Y144" s="403"/>
      <c r="Z144" s="306"/>
      <c r="AA144" s="384"/>
      <c r="AG144" s="367"/>
      <c r="AH144" s="367"/>
    </row>
    <row r="145" spans="1:34" ht="17.25" customHeight="1">
      <c r="A145" s="399"/>
      <c r="B145" s="400"/>
      <c r="C145" s="400"/>
      <c r="D145" s="400"/>
      <c r="E145" s="400"/>
      <c r="F145" s="400"/>
      <c r="G145" s="400"/>
      <c r="H145" s="400"/>
      <c r="I145" s="400"/>
      <c r="J145" s="401"/>
      <c r="K145" s="401"/>
      <c r="L145" s="400"/>
      <c r="M145" s="400"/>
      <c r="N145" s="400"/>
      <c r="O145" s="400"/>
      <c r="P145" s="400"/>
      <c r="Q145" s="400"/>
      <c r="R145" s="400"/>
      <c r="S145" s="400"/>
      <c r="T145" s="400"/>
      <c r="U145" s="400"/>
      <c r="V145" s="400"/>
      <c r="W145" s="400"/>
      <c r="X145" s="400"/>
      <c r="Y145" s="400"/>
      <c r="Z145" s="400"/>
      <c r="AA145" s="402"/>
      <c r="AG145" s="367"/>
      <c r="AH145" s="367"/>
    </row>
  </sheetData>
  <sheetProtection password="CF28" sheet="1" objects="1" scenarios="1"/>
  <mergeCells count="171">
    <mergeCell ref="O49:Z49"/>
    <mergeCell ref="O53:Z53"/>
    <mergeCell ref="O106:Z106"/>
    <mergeCell ref="O107:Z107"/>
    <mergeCell ref="O97:Z97"/>
    <mergeCell ref="O98:Z98"/>
    <mergeCell ref="O99:Z99"/>
    <mergeCell ref="O100:Z100"/>
    <mergeCell ref="S83:Z83"/>
    <mergeCell ref="M74:AA75"/>
    <mergeCell ref="O51:Z51"/>
    <mergeCell ref="AC30:AD30"/>
    <mergeCell ref="Q141:U141"/>
    <mergeCell ref="Q143:U143"/>
    <mergeCell ref="Q144:U144"/>
    <mergeCell ref="AC32:AD32"/>
    <mergeCell ref="AC34:AD34"/>
    <mergeCell ref="AC39:AD39"/>
    <mergeCell ref="AC52:AD52"/>
    <mergeCell ref="O102:Z102"/>
    <mergeCell ref="O103:Z103"/>
    <mergeCell ref="O104:Z104"/>
    <mergeCell ref="O124:Z124"/>
    <mergeCell ref="O94:Z94"/>
    <mergeCell ref="O91:Z92"/>
    <mergeCell ref="O101:Z101"/>
    <mergeCell ref="O95:Z95"/>
    <mergeCell ref="N108:AA109"/>
    <mergeCell ref="O125:Z125"/>
    <mergeCell ref="O112:Z112"/>
    <mergeCell ref="O111:Z111"/>
    <mergeCell ref="C138:Y139"/>
    <mergeCell ref="O121:Z121"/>
    <mergeCell ref="O116:Z116"/>
    <mergeCell ref="O118:Z118"/>
    <mergeCell ref="AC20:AD20"/>
    <mergeCell ref="AE11:AF11"/>
    <mergeCell ref="O41:Z41"/>
    <mergeCell ref="U13:Y13"/>
    <mergeCell ref="O50:Z50"/>
    <mergeCell ref="O46:Z46"/>
    <mergeCell ref="P86:Y90"/>
    <mergeCell ref="O42:Z42"/>
    <mergeCell ref="O48:Z48"/>
    <mergeCell ref="O47:Z47"/>
    <mergeCell ref="B65:Z67"/>
    <mergeCell ref="I78:M78"/>
    <mergeCell ref="A76:M76"/>
    <mergeCell ref="U85:Y85"/>
    <mergeCell ref="I79:M79"/>
    <mergeCell ref="O52:Z52"/>
    <mergeCell ref="R11:Y11"/>
    <mergeCell ref="AC29:AD29"/>
    <mergeCell ref="AC28:AD28"/>
    <mergeCell ref="AE27:AF27"/>
    <mergeCell ref="AE29:AF29"/>
    <mergeCell ref="AE25:AF25"/>
    <mergeCell ref="AC25:AD25"/>
    <mergeCell ref="AE28:AF28"/>
    <mergeCell ref="A3:M3"/>
    <mergeCell ref="I4:M4"/>
    <mergeCell ref="I5:M5"/>
    <mergeCell ref="I6:M6"/>
    <mergeCell ref="O25:Z25"/>
    <mergeCell ref="O44:Z44"/>
    <mergeCell ref="O22:Z22"/>
    <mergeCell ref="B4:G4"/>
    <mergeCell ref="B5:G5"/>
    <mergeCell ref="B6:G6"/>
    <mergeCell ref="O29:Z29"/>
    <mergeCell ref="B11:F11"/>
    <mergeCell ref="B15:G16"/>
    <mergeCell ref="B13:F14"/>
    <mergeCell ref="O39:Z39"/>
    <mergeCell ref="O32:Z32"/>
    <mergeCell ref="N36:AA37"/>
    <mergeCell ref="N19:AA20"/>
    <mergeCell ref="O43:Z43"/>
    <mergeCell ref="R7:Y7"/>
    <mergeCell ref="O27:Z27"/>
    <mergeCell ref="O35:Z35"/>
    <mergeCell ref="O30:Z30"/>
    <mergeCell ref="B8:G8"/>
    <mergeCell ref="O114:Z114"/>
    <mergeCell ref="O115:Z115"/>
    <mergeCell ref="O123:Z123"/>
    <mergeCell ref="O119:Z119"/>
    <mergeCell ref="O113:Z113"/>
    <mergeCell ref="O122:Z122"/>
    <mergeCell ref="B78:G78"/>
    <mergeCell ref="B77:G77"/>
    <mergeCell ref="C68:I69"/>
    <mergeCell ref="B72:I72"/>
    <mergeCell ref="O70:P70"/>
    <mergeCell ref="B70:D70"/>
    <mergeCell ref="I77:M77"/>
    <mergeCell ref="R70:Z70"/>
    <mergeCell ref="O120:Z120"/>
    <mergeCell ref="E70:I70"/>
    <mergeCell ref="L70:N70"/>
    <mergeCell ref="B71:I71"/>
    <mergeCell ref="J71:N71"/>
    <mergeCell ref="O71:Z71"/>
    <mergeCell ref="O34:Z34"/>
    <mergeCell ref="P14:Y18"/>
    <mergeCell ref="O28:Z28"/>
    <mergeCell ref="R8:Y8"/>
    <mergeCell ref="R10:Y10"/>
    <mergeCell ref="O40:Z40"/>
    <mergeCell ref="O31:Z31"/>
    <mergeCell ref="B9:G9"/>
    <mergeCell ref="O26:Z26"/>
    <mergeCell ref="O23:Z23"/>
    <mergeCell ref="U4:Y4"/>
    <mergeCell ref="I9:L9"/>
    <mergeCell ref="AE24:AF24"/>
    <mergeCell ref="AE19:AF19"/>
    <mergeCell ref="AE22:AF22"/>
    <mergeCell ref="AC13:AD13"/>
    <mergeCell ref="AC15:AD15"/>
    <mergeCell ref="AE4:AF6"/>
    <mergeCell ref="AE17:AF17"/>
    <mergeCell ref="R6:Y6"/>
    <mergeCell ref="AC22:AD22"/>
    <mergeCell ref="AE15:AF15"/>
    <mergeCell ref="AC23:AD23"/>
    <mergeCell ref="AE23:AF23"/>
    <mergeCell ref="I8:M8"/>
    <mergeCell ref="AC4:AC5"/>
    <mergeCell ref="AC7:AC8"/>
    <mergeCell ref="AC24:AD24"/>
    <mergeCell ref="AC19:AD19"/>
    <mergeCell ref="AC11:AD11"/>
    <mergeCell ref="AE7:AF9"/>
    <mergeCell ref="AE20:AF20"/>
    <mergeCell ref="AE13:AF13"/>
    <mergeCell ref="AC17:AD17"/>
    <mergeCell ref="AC41:AD41"/>
    <mergeCell ref="AE37:AF37"/>
    <mergeCell ref="AE56:AF56"/>
    <mergeCell ref="AE43:AF46"/>
    <mergeCell ref="AE55:AF55"/>
    <mergeCell ref="AE39:AF39"/>
    <mergeCell ref="AE41:AF41"/>
    <mergeCell ref="AC46:AD46"/>
    <mergeCell ref="AC43:AD43"/>
    <mergeCell ref="AC48:AD48"/>
    <mergeCell ref="M1:Z2"/>
    <mergeCell ref="AC72:AF72"/>
    <mergeCell ref="AC58:AD58"/>
    <mergeCell ref="AC71:AF71"/>
    <mergeCell ref="AC69:AF70"/>
    <mergeCell ref="AC65:AF66"/>
    <mergeCell ref="AC60:AC62"/>
    <mergeCell ref="AE52:AF53"/>
    <mergeCell ref="AE60:AF62"/>
    <mergeCell ref="AC67:AF68"/>
    <mergeCell ref="AC27:AD27"/>
    <mergeCell ref="AE26:AF26"/>
    <mergeCell ref="AC26:AD26"/>
    <mergeCell ref="AE31:AF31"/>
    <mergeCell ref="AE48:AF48"/>
    <mergeCell ref="AC55:AD55"/>
    <mergeCell ref="AC31:AD31"/>
    <mergeCell ref="AE30:AF30"/>
    <mergeCell ref="AE32:AF32"/>
    <mergeCell ref="AE34:AF34"/>
    <mergeCell ref="AE36:AF36"/>
    <mergeCell ref="AC50:AD50"/>
    <mergeCell ref="AE50:AF50"/>
    <mergeCell ref="AC37:AD37"/>
  </mergeCells>
  <phoneticPr fontId="0" type="noConversion"/>
  <conditionalFormatting sqref="B55:H56 B58:H58 B62:C64 B60 B134:C136 B127:H128 B130:H130 B132">
    <cfRule type="cellIs" dxfId="4" priority="28" stopIfTrue="1" operator="equal">
      <formula>"Fejl! Udfyld ENTEN kr.beløb ELLER Trin"</formula>
    </cfRule>
  </conditionalFormatting>
  <conditionalFormatting sqref="B10:I10 B82:K82">
    <cfRule type="cellIs" dxfId="3" priority="29" stopIfTrue="1" operator="notEqual">
      <formula>"Lønkode"</formula>
    </cfRule>
  </conditionalFormatting>
  <pageMargins left="0.31496062992125984" right="0.31496062992125984" top="0.39370078740157483" bottom="0.39370078740157483" header="0.39370078740157483" footer="0.39370078740157483"/>
  <pageSetup paperSize="9" scale="90" orientation="portrait" blackAndWhite="1" horizontalDpi="4294967292" r:id="rId1"/>
  <headerFooter alignWithMargins="0">
    <oddFooter>&amp;CSide &amp;P af 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6"/>
  <dimension ref="A1:M66"/>
  <sheetViews>
    <sheetView zoomScaleSheetLayoutView="85" workbookViewId="0">
      <selection activeCell="C12" sqref="C12"/>
    </sheetView>
  </sheetViews>
  <sheetFormatPr defaultRowHeight="12.75"/>
  <cols>
    <col min="1" max="1" width="6.6640625" style="100" customWidth="1"/>
    <col min="2" max="2" width="39.1640625" style="100" customWidth="1"/>
    <col min="3" max="3" width="10.1640625" style="100" customWidth="1"/>
    <col min="4" max="4" width="6.5" style="100" customWidth="1"/>
    <col min="5" max="7" width="13.83203125" style="100" customWidth="1"/>
    <col min="8" max="8" width="9.33203125" style="100"/>
    <col min="9" max="9" width="5.83203125" style="100" customWidth="1"/>
    <col min="10" max="10" width="5.1640625" style="100" customWidth="1"/>
    <col min="11" max="11" width="15" style="100" hidden="1" customWidth="1"/>
    <col min="12" max="13" width="9.33203125" style="100" hidden="1" customWidth="1"/>
    <col min="14" max="16384" width="9.33203125" style="100"/>
  </cols>
  <sheetData>
    <row r="1" spans="1:7" ht="12.75" customHeight="1">
      <c r="A1" s="110" t="s">
        <v>10</v>
      </c>
      <c r="F1" s="208" t="s">
        <v>0</v>
      </c>
      <c r="G1" s="292"/>
    </row>
    <row r="2" spans="1:7" ht="12.75" customHeight="1">
      <c r="A2" s="110" t="s">
        <v>384</v>
      </c>
    </row>
    <row r="3" spans="1:7" ht="12.75" customHeight="1">
      <c r="A3" s="604" t="s">
        <v>263</v>
      </c>
      <c r="B3" s="604"/>
      <c r="C3" s="604"/>
      <c r="D3" s="604"/>
      <c r="E3" s="604"/>
      <c r="F3" s="604"/>
      <c r="G3" s="604"/>
    </row>
    <row r="4" spans="1:7" ht="12.75" customHeight="1">
      <c r="A4" s="110"/>
      <c r="D4" s="110"/>
      <c r="E4" s="110"/>
    </row>
    <row r="5" spans="1:7" ht="12.75" customHeight="1">
      <c r="A5" s="101">
        <v>1</v>
      </c>
      <c r="B5" s="102" t="s">
        <v>66</v>
      </c>
      <c r="C5" s="610"/>
      <c r="D5" s="610"/>
      <c r="E5" s="610"/>
      <c r="F5" s="610"/>
      <c r="G5" s="597"/>
    </row>
    <row r="6" spans="1:7" ht="12.75" customHeight="1">
      <c r="A6" s="101"/>
      <c r="B6" s="102" t="s">
        <v>152</v>
      </c>
      <c r="C6" s="610"/>
      <c r="D6" s="610"/>
      <c r="E6" s="610"/>
      <c r="F6" s="610"/>
      <c r="G6" s="597"/>
    </row>
    <row r="7" spans="1:7" ht="12.75" customHeight="1">
      <c r="A7" s="101"/>
      <c r="B7" s="102" t="s">
        <v>153</v>
      </c>
      <c r="C7" s="211"/>
      <c r="D7" s="596"/>
      <c r="E7" s="608"/>
      <c r="F7" s="608"/>
      <c r="G7" s="609"/>
    </row>
    <row r="8" spans="1:7" ht="12.75" customHeight="1">
      <c r="A8" s="101">
        <v>2</v>
      </c>
      <c r="B8" s="102" t="s">
        <v>88</v>
      </c>
      <c r="C8" s="587"/>
      <c r="D8" s="587"/>
      <c r="E8" s="587"/>
      <c r="F8" s="587"/>
      <c r="G8" s="588"/>
    </row>
    <row r="9" spans="1:7" ht="12.75" customHeight="1">
      <c r="A9" s="101">
        <v>3</v>
      </c>
      <c r="B9" s="102" t="s">
        <v>89</v>
      </c>
      <c r="C9" s="579"/>
      <c r="D9" s="579"/>
      <c r="E9" s="579"/>
      <c r="F9" s="579"/>
      <c r="G9" s="580"/>
    </row>
    <row r="10" spans="1:7" ht="12.75" customHeight="1">
      <c r="A10" s="101">
        <v>4</v>
      </c>
      <c r="B10" s="102" t="s">
        <v>56</v>
      </c>
      <c r="C10" s="224">
        <v>1</v>
      </c>
      <c r="D10" s="107"/>
      <c r="E10" s="107"/>
      <c r="F10" s="107"/>
      <c r="G10" s="131"/>
    </row>
    <row r="11" spans="1:7" ht="12.75" customHeight="1">
      <c r="A11" s="101" t="s">
        <v>160</v>
      </c>
      <c r="B11" s="102" t="s">
        <v>90</v>
      </c>
      <c r="C11" s="98">
        <v>37</v>
      </c>
      <c r="D11" s="107"/>
      <c r="E11" s="107"/>
      <c r="F11" s="107"/>
      <c r="G11" s="131"/>
    </row>
    <row r="12" spans="1:7" ht="12.75" customHeight="1">
      <c r="A12" s="101" t="s">
        <v>161</v>
      </c>
      <c r="B12" s="102" t="s">
        <v>91</v>
      </c>
      <c r="C12" s="98">
        <v>37</v>
      </c>
      <c r="D12" s="107"/>
      <c r="E12" s="107"/>
      <c r="F12" s="107"/>
      <c r="G12" s="131"/>
    </row>
    <row r="13" spans="1:7" ht="12.75" customHeight="1">
      <c r="A13" s="101">
        <v>5</v>
      </c>
      <c r="B13" s="102" t="s">
        <v>233</v>
      </c>
      <c r="C13" s="579"/>
      <c r="D13" s="579"/>
      <c r="E13" s="579"/>
      <c r="F13" s="579"/>
      <c r="G13" s="580"/>
    </row>
    <row r="14" spans="1:7" ht="12.75" customHeight="1">
      <c r="A14" s="101">
        <v>6</v>
      </c>
      <c r="B14" s="102" t="s">
        <v>151</v>
      </c>
      <c r="C14" s="593"/>
      <c r="D14" s="580"/>
      <c r="E14" s="107"/>
      <c r="F14" s="107"/>
      <c r="G14" s="108"/>
    </row>
    <row r="15" spans="1:7" ht="12.75" customHeight="1">
      <c r="A15" s="101">
        <v>7</v>
      </c>
      <c r="B15" s="102" t="s">
        <v>12</v>
      </c>
      <c r="C15" s="240"/>
      <c r="D15" s="594" t="e">
        <f>VLOOKUP(C15,tabeloverenskomstnr,3,1)</f>
        <v>#N/A</v>
      </c>
      <c r="E15" s="594"/>
      <c r="F15" s="594"/>
      <c r="G15" s="595"/>
    </row>
    <row r="16" spans="1:7" ht="12.75" customHeight="1">
      <c r="A16" s="101">
        <v>8</v>
      </c>
      <c r="B16" s="102" t="s">
        <v>95</v>
      </c>
      <c r="C16" s="596"/>
      <c r="D16" s="597"/>
      <c r="E16" s="107"/>
      <c r="F16" s="107"/>
      <c r="G16" s="108"/>
    </row>
    <row r="17" spans="1:12" ht="12.75" customHeight="1">
      <c r="A17" s="223">
        <v>9</v>
      </c>
      <c r="B17" s="102" t="s">
        <v>93</v>
      </c>
      <c r="C17" s="596"/>
      <c r="D17" s="597"/>
      <c r="E17" s="107"/>
      <c r="F17" s="107"/>
      <c r="G17" s="108"/>
    </row>
    <row r="18" spans="1:12" ht="12.75" customHeight="1">
      <c r="A18" s="223">
        <v>10</v>
      </c>
      <c r="B18" s="242" t="str">
        <f>IF(OR(C18&lt;0,C18&gt;5),"Fejl! Lønkode skal være 0 - 5","Lønkode")</f>
        <v>Lønkode</v>
      </c>
      <c r="C18" s="98"/>
      <c r="D18" s="295" t="s">
        <v>323</v>
      </c>
      <c r="E18" s="112"/>
      <c r="F18" s="112"/>
      <c r="G18" s="134"/>
      <c r="K18" s="100" t="s">
        <v>273</v>
      </c>
      <c r="L18" s="100">
        <f>VLOOKUP(LønkodeRåd2Time,TabelPctReg,2)</f>
        <v>31.779800000000002</v>
      </c>
    </row>
    <row r="19" spans="1:12" ht="12.75" customHeight="1">
      <c r="A19" s="101"/>
      <c r="B19" s="242"/>
      <c r="C19" s="242"/>
      <c r="D19" s="296" t="s">
        <v>324</v>
      </c>
      <c r="E19" s="275"/>
      <c r="F19" s="275"/>
      <c r="G19" s="132"/>
    </row>
    <row r="20" spans="1:12" ht="12.75" customHeight="1">
      <c r="A20" s="101">
        <v>11</v>
      </c>
      <c r="B20" s="242" t="s">
        <v>270</v>
      </c>
      <c r="C20" s="98"/>
      <c r="D20" s="589" t="s">
        <v>266</v>
      </c>
      <c r="E20" s="590"/>
      <c r="F20" s="107"/>
      <c r="G20" s="108"/>
      <c r="K20" s="252"/>
      <c r="L20" s="252"/>
    </row>
    <row r="21" spans="1:12" ht="12.75" customHeight="1"/>
    <row r="22" spans="1:12" ht="12.75" customHeight="1">
      <c r="A22" s="82" t="s">
        <v>78</v>
      </c>
    </row>
    <row r="23" spans="1:12" ht="12.75" customHeight="1"/>
    <row r="24" spans="1:12" ht="12.75" customHeight="1">
      <c r="A24" s="111"/>
      <c r="B24" s="112"/>
      <c r="C24" s="228" t="s">
        <v>162</v>
      </c>
      <c r="D24" s="228" t="s">
        <v>1</v>
      </c>
      <c r="E24" s="228" t="s">
        <v>261</v>
      </c>
    </row>
    <row r="25" spans="1:12" ht="12.75" customHeight="1">
      <c r="A25" s="115"/>
      <c r="B25" s="103"/>
      <c r="C25" s="182" t="s">
        <v>163</v>
      </c>
      <c r="D25" s="230"/>
      <c r="E25" s="230"/>
    </row>
    <row r="26" spans="1:12" ht="12.75" customHeight="1">
      <c r="A26" s="115"/>
      <c r="B26" s="103"/>
      <c r="C26" s="243">
        <f>VLOOKUP(LønkodeRåd2Time,TabelPctReg,3)</f>
        <v>36616</v>
      </c>
      <c r="D26" s="230"/>
      <c r="E26" s="244">
        <f>Dato1</f>
        <v>42370</v>
      </c>
    </row>
    <row r="27" spans="1:12" ht="12.75" customHeight="1">
      <c r="A27" s="101">
        <v>12</v>
      </c>
      <c r="B27" s="242" t="s">
        <v>4</v>
      </c>
      <c r="C27" s="199"/>
      <c r="D27" s="98"/>
      <c r="E27" s="117">
        <f>ROUND(VLOOKUP(D27,TabelLøn,StartKolonneRåd2Time,1)*BeskGradRåd2Time*12/1924,2)+ROUND(C27/12*BeskGradRåd2Time*(1+PctRegTime%)*12/1924,2)</f>
        <v>0</v>
      </c>
    </row>
    <row r="28" spans="1:12" ht="12.75" customHeight="1">
      <c r="A28" s="101">
        <v>13</v>
      </c>
      <c r="B28" s="130" t="s">
        <v>145</v>
      </c>
      <c r="C28" s="116"/>
      <c r="D28" s="104"/>
      <c r="E28" s="117"/>
    </row>
    <row r="29" spans="1:12" ht="12.75" customHeight="1">
      <c r="A29" s="102"/>
      <c r="B29" s="102" t="s">
        <v>251</v>
      </c>
      <c r="C29" s="116"/>
      <c r="D29" s="98"/>
      <c r="E29" s="117">
        <f>ROUND((VLOOKUP($D$27+D29,TabelLøn,StartKolonneRåd2Time,1)-VLOOKUP($D$27,TabelLøn,StartKolonneRåd2Time,1))*BeskGradRåd2Time*12/1924,2)</f>
        <v>0</v>
      </c>
    </row>
    <row r="30" spans="1:12" ht="12.75" customHeight="1">
      <c r="A30" s="104"/>
      <c r="B30" s="102" t="s">
        <v>252</v>
      </c>
      <c r="C30" s="199"/>
      <c r="D30" s="104"/>
      <c r="E30" s="117">
        <f>ROUND(C30/12*BeskGradRåd2Time*(1+PctRegTime%)*12/1924,2)</f>
        <v>0</v>
      </c>
    </row>
    <row r="31" spans="1:12" ht="12.75" customHeight="1">
      <c r="A31" s="101"/>
      <c r="B31" s="102" t="s">
        <v>253</v>
      </c>
      <c r="C31" s="116"/>
      <c r="D31" s="98"/>
      <c r="E31" s="117">
        <f>ROUND((VLOOKUP($D$27+D29+D31,TabelLøn,StartKolonneRåd2Time,1)-VLOOKUP($D$27+D29,TabelLøn,StartKolonneRåd2Time,1))*BeskGradRåd2Time*12/1924,2)</f>
        <v>0</v>
      </c>
    </row>
    <row r="32" spans="1:12" ht="12.75" customHeight="1">
      <c r="A32" s="106"/>
      <c r="B32" s="102" t="s">
        <v>254</v>
      </c>
      <c r="C32" s="199"/>
      <c r="D32" s="104"/>
      <c r="E32" s="117">
        <f>ROUND(C32/12*BeskGradRåd2Time*(1+PctRegTime%)*12/1924,2)</f>
        <v>0</v>
      </c>
    </row>
    <row r="33" spans="1:12" ht="12.75" customHeight="1">
      <c r="A33" s="106"/>
      <c r="B33" s="102" t="s">
        <v>250</v>
      </c>
      <c r="C33" s="199"/>
      <c r="D33" s="104"/>
      <c r="E33" s="117">
        <f>ROUND(C33/12*BeskGradRåd2Time*(1+PctRegTime%)*12/1924,2)</f>
        <v>0</v>
      </c>
    </row>
    <row r="34" spans="1:12" ht="12.75" customHeight="1">
      <c r="A34" s="223">
        <v>14</v>
      </c>
      <c r="B34" s="102" t="s">
        <v>146</v>
      </c>
      <c r="C34" s="116"/>
      <c r="D34" s="102"/>
      <c r="E34" s="136"/>
    </row>
    <row r="35" spans="1:12" ht="12.75" customHeight="1">
      <c r="A35" s="101"/>
      <c r="B35" s="102" t="s">
        <v>251</v>
      </c>
      <c r="C35" s="116"/>
      <c r="D35" s="98"/>
      <c r="E35" s="117">
        <f>ROUND((VLOOKUP($D$27+D29+D31+D35,TabelLøn,StartKolonneRåd2Time,1)-VLOOKUP($D$27+D29+D31,TabelLøn,StartKolonneRåd2Time,1))*BeskGradRåd2Time*12/1924,2)</f>
        <v>0</v>
      </c>
    </row>
    <row r="36" spans="1:12" ht="12.75" customHeight="1">
      <c r="A36" s="104"/>
      <c r="B36" s="102" t="s">
        <v>252</v>
      </c>
      <c r="C36" s="199"/>
      <c r="D36" s="104"/>
      <c r="E36" s="117">
        <f>ROUND(C36/12*BeskGradRåd2Time*(1+PctRegTime%)*12/1924,2)</f>
        <v>0</v>
      </c>
    </row>
    <row r="37" spans="1:12" ht="12.75" customHeight="1">
      <c r="A37" s="101"/>
      <c r="B37" s="102" t="s">
        <v>253</v>
      </c>
      <c r="C37" s="116"/>
      <c r="D37" s="98"/>
      <c r="E37" s="117">
        <f>ROUND((VLOOKUP(SUM($D$27:D37),TabelLøn,StartKolonneRåd2Time,1)-VLOOKUP(SUM($D$27:D35),TabelLøn,StartKolonneRåd2Time,1))*BeskGradRåd2Time*12/1924,2)</f>
        <v>0</v>
      </c>
    </row>
    <row r="38" spans="1:12" ht="12.75" customHeight="1">
      <c r="A38" s="104"/>
      <c r="B38" s="102" t="s">
        <v>254</v>
      </c>
      <c r="C38" s="199"/>
      <c r="D38" s="104"/>
      <c r="E38" s="117">
        <f>ROUND(C38/12*BeskGradRåd2Time*(1+PctRegTime%)*12/1924,2)</f>
        <v>0</v>
      </c>
    </row>
    <row r="39" spans="1:12" ht="12.75" customHeight="1">
      <c r="A39" s="104"/>
      <c r="B39" s="102" t="s">
        <v>250</v>
      </c>
      <c r="C39" s="199"/>
      <c r="D39" s="104"/>
      <c r="E39" s="117">
        <f>ROUND(C39/12*BeskGradRåd2Time*(1+PctRegTime%)*12/1924,2)</f>
        <v>0</v>
      </c>
    </row>
    <row r="40" spans="1:12" ht="12.75" customHeight="1">
      <c r="A40" s="101">
        <v>15</v>
      </c>
      <c r="B40" s="109" t="s">
        <v>13</v>
      </c>
      <c r="C40" s="116"/>
      <c r="D40" s="104"/>
      <c r="E40" s="117"/>
    </row>
    <row r="41" spans="1:12" ht="12.75" customHeight="1">
      <c r="A41" s="101"/>
      <c r="B41" s="109" t="s">
        <v>255</v>
      </c>
      <c r="C41" s="199"/>
      <c r="D41" s="104"/>
      <c r="E41" s="117">
        <f>ROUND(C41/12*BeskGradRåd2Time*(1+PctRegTime%)*12/1924,2)</f>
        <v>0</v>
      </c>
    </row>
    <row r="42" spans="1:12" ht="12.75" customHeight="1">
      <c r="A42" s="104"/>
      <c r="B42" s="109" t="s">
        <v>250</v>
      </c>
      <c r="C42" s="199"/>
      <c r="D42" s="104"/>
      <c r="E42" s="117">
        <f>ROUND(C42/12*BeskGradRåd2Time*(1+PctRegTime%)*12/1924,2)</f>
        <v>0</v>
      </c>
      <c r="K42" s="252"/>
      <c r="L42" s="252"/>
    </row>
    <row r="43" spans="1:12" ht="12.75" customHeight="1">
      <c r="A43" s="104"/>
      <c r="B43" s="256" t="s">
        <v>249</v>
      </c>
      <c r="C43" s="117">
        <f>SUM(C27:C42)</f>
        <v>0</v>
      </c>
      <c r="D43" s="119">
        <f>SUM(D27:D42)</f>
        <v>0</v>
      </c>
      <c r="E43" s="117">
        <f>SUM(E27:E42)</f>
        <v>0</v>
      </c>
      <c r="K43" s="252" t="s">
        <v>236</v>
      </c>
      <c r="L43" s="252" t="s">
        <v>22</v>
      </c>
    </row>
    <row r="44" spans="1:12" ht="12.75" customHeight="1">
      <c r="A44" s="101">
        <v>16</v>
      </c>
      <c r="B44" s="102" t="s">
        <v>239</v>
      </c>
      <c r="C44" s="116"/>
      <c r="D44" s="104"/>
      <c r="E44" s="117">
        <f>ROUND(VLOOKUP(D45,TabelLønninger,VLOOKUP(LønkodeRåd2Time,TabelPensgivLøn,2))*PensionsProcentTilgangTime/100*BeskGradRåd2Time/1924,2)+L44</f>
        <v>0</v>
      </c>
      <c r="K44" s="117">
        <f>C43-C33-C39-C42</f>
        <v>0</v>
      </c>
      <c r="L44" s="117">
        <f>ROUND(K44/12*BeskGradRåd2Time*(1+PctRegTime%)*PensionsProcentTilgangTime/100*12/1924,2)</f>
        <v>0</v>
      </c>
    </row>
    <row r="45" spans="1:12" ht="12.75" customHeight="1">
      <c r="A45" s="101">
        <v>17</v>
      </c>
      <c r="B45" s="256" t="s">
        <v>246</v>
      </c>
      <c r="C45" s="117">
        <f>SUM(C43:C44)</f>
        <v>0</v>
      </c>
      <c r="D45" s="119">
        <f>SUM(D43:D44)</f>
        <v>0</v>
      </c>
      <c r="E45" s="117">
        <f>SUM(E43:E44)</f>
        <v>0</v>
      </c>
    </row>
    <row r="46" spans="1:12" ht="12.75" customHeight="1"/>
    <row r="47" spans="1:12" ht="12.75" customHeight="1">
      <c r="A47" s="601" t="s">
        <v>213</v>
      </c>
      <c r="B47" s="602"/>
      <c r="C47" s="602"/>
      <c r="D47" s="602"/>
      <c r="E47" s="602"/>
      <c r="F47" s="602"/>
      <c r="G47" s="603"/>
    </row>
    <row r="48" spans="1:12" ht="12.75" customHeight="1">
      <c r="A48" s="584"/>
      <c r="B48" s="585"/>
      <c r="C48" s="585"/>
      <c r="D48" s="585"/>
      <c r="E48" s="585"/>
      <c r="F48" s="585"/>
      <c r="G48" s="586"/>
    </row>
    <row r="49" spans="1:7" ht="12.75" customHeight="1">
      <c r="A49" s="581"/>
      <c r="B49" s="582"/>
      <c r="C49" s="582"/>
      <c r="D49" s="582"/>
      <c r="E49" s="582"/>
      <c r="F49" s="582"/>
      <c r="G49" s="583"/>
    </row>
    <row r="50" spans="1:7" ht="12.75" customHeight="1">
      <c r="A50" s="581"/>
      <c r="B50" s="582"/>
      <c r="C50" s="582"/>
      <c r="D50" s="582"/>
      <c r="E50" s="582"/>
      <c r="F50" s="582"/>
      <c r="G50" s="583"/>
    </row>
    <row r="51" spans="1:7" ht="12.75" customHeight="1">
      <c r="A51" s="581"/>
      <c r="B51" s="582"/>
      <c r="C51" s="582"/>
      <c r="D51" s="582"/>
      <c r="E51" s="582"/>
      <c r="F51" s="582"/>
      <c r="G51" s="583"/>
    </row>
    <row r="52" spans="1:7" ht="12.75" customHeight="1">
      <c r="A52" s="581"/>
      <c r="B52" s="582"/>
      <c r="C52" s="582"/>
      <c r="D52" s="582"/>
      <c r="E52" s="582"/>
      <c r="F52" s="582"/>
      <c r="G52" s="583"/>
    </row>
    <row r="53" spans="1:7" ht="12.75" customHeight="1">
      <c r="A53" s="598"/>
      <c r="B53" s="599"/>
      <c r="C53" s="599"/>
      <c r="D53" s="599"/>
      <c r="E53" s="599"/>
      <c r="F53" s="599"/>
      <c r="G53" s="600"/>
    </row>
    <row r="54" spans="1:7" ht="12.75" customHeight="1"/>
    <row r="55" spans="1:7" ht="12.75" customHeight="1">
      <c r="A55" s="110" t="s">
        <v>154</v>
      </c>
    </row>
    <row r="56" spans="1:7" ht="12.75" customHeight="1">
      <c r="A56" s="100" t="s">
        <v>155</v>
      </c>
    </row>
    <row r="57" spans="1:7" ht="12.75" customHeight="1">
      <c r="A57" s="100" t="s">
        <v>14</v>
      </c>
    </row>
    <row r="58" spans="1:7" ht="12.75" customHeight="1"/>
    <row r="59" spans="1:7" ht="12.75" customHeight="1">
      <c r="A59" s="110" t="s">
        <v>264</v>
      </c>
    </row>
    <row r="60" spans="1:7" ht="12.75" customHeight="1">
      <c r="A60" s="106" t="s">
        <v>9</v>
      </c>
      <c r="B60" s="210"/>
      <c r="C60" s="107" t="s">
        <v>9</v>
      </c>
      <c r="D60" s="591"/>
      <c r="E60" s="592"/>
      <c r="F60" s="106" t="s">
        <v>9</v>
      </c>
      <c r="G60" s="210"/>
    </row>
    <row r="61" spans="1:7" ht="12.75" customHeight="1">
      <c r="A61" s="138"/>
      <c r="B61" s="139"/>
      <c r="C61" s="103"/>
      <c r="D61" s="103"/>
      <c r="E61" s="103"/>
      <c r="F61" s="138"/>
      <c r="G61" s="139"/>
    </row>
    <row r="62" spans="1:7" ht="12.75" customHeight="1">
      <c r="A62" s="138"/>
      <c r="B62" s="139"/>
      <c r="C62" s="103"/>
      <c r="D62" s="103"/>
      <c r="E62" s="103"/>
      <c r="F62" s="138"/>
      <c r="G62" s="139"/>
    </row>
    <row r="63" spans="1:7" ht="12.75" customHeight="1">
      <c r="A63" s="109" t="s">
        <v>15</v>
      </c>
      <c r="B63" s="108"/>
      <c r="C63" s="130" t="s">
        <v>16</v>
      </c>
      <c r="D63" s="130"/>
      <c r="E63" s="107"/>
      <c r="F63" s="109" t="s">
        <v>17</v>
      </c>
      <c r="G63" s="140"/>
    </row>
    <row r="64" spans="1:7" ht="12.75" customHeight="1"/>
    <row r="65" spans="1:1" ht="12.75" customHeight="1">
      <c r="A65" s="110" t="s">
        <v>320</v>
      </c>
    </row>
    <row r="66" spans="1:1" ht="12.75" customHeight="1"/>
  </sheetData>
  <sheetProtection password="CF28" sheet="1"/>
  <mergeCells count="20">
    <mergeCell ref="D60:E60"/>
    <mergeCell ref="C14:D14"/>
    <mergeCell ref="D15:G15"/>
    <mergeCell ref="C16:D16"/>
    <mergeCell ref="A49:G49"/>
    <mergeCell ref="A50:G50"/>
    <mergeCell ref="A52:G52"/>
    <mergeCell ref="A48:G48"/>
    <mergeCell ref="A53:G53"/>
    <mergeCell ref="A47:G47"/>
    <mergeCell ref="C13:G13"/>
    <mergeCell ref="C17:D17"/>
    <mergeCell ref="A51:G51"/>
    <mergeCell ref="A3:G3"/>
    <mergeCell ref="C9:G9"/>
    <mergeCell ref="D7:G7"/>
    <mergeCell ref="C5:G5"/>
    <mergeCell ref="C6:G6"/>
    <mergeCell ref="C8:G8"/>
    <mergeCell ref="D20:E20"/>
  </mergeCells>
  <phoneticPr fontId="0" type="noConversion"/>
  <conditionalFormatting sqref="B18 B19:C19">
    <cfRule type="cellIs" dxfId="2" priority="1" stopIfTrue="1" operator="notEqual">
      <formula>"Lønkode"</formula>
    </cfRule>
  </conditionalFormatting>
  <pageMargins left="0.31496062992125984" right="0.31496062992125984" top="0.39370078740157483" bottom="0.39370078740157483" header="0.51181102362204722" footer="0.39370078740157483"/>
  <pageSetup paperSize="9" scale="90" orientation="portrait" blackAndWhite="1" horizontalDpi="4294967292" r:id="rId1"/>
  <headerFooter alignWithMargins="0">
    <oddFooter>&amp;CSide &amp;P af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Ark2"/>
  <dimension ref="A1:M50"/>
  <sheetViews>
    <sheetView zoomScaleSheetLayoutView="85" workbookViewId="0">
      <selection activeCell="I13" sqref="I13"/>
    </sheetView>
  </sheetViews>
  <sheetFormatPr defaultRowHeight="12.75"/>
  <cols>
    <col min="1" max="1" width="1.83203125" style="10" customWidth="1"/>
    <col min="2" max="2" width="26.83203125" style="10" customWidth="1"/>
    <col min="3" max="3" width="10.83203125" style="10" customWidth="1"/>
    <col min="4" max="7" width="14.83203125" style="10" customWidth="1"/>
    <col min="8" max="8" width="1.83203125" style="10" customWidth="1"/>
    <col min="9" max="9" width="9.33203125" style="10"/>
    <col min="10" max="10" width="6.1640625" style="10" customWidth="1"/>
    <col min="11" max="11" width="13" style="10" hidden="1" customWidth="1"/>
    <col min="12" max="13" width="9.33203125" style="10" hidden="1" customWidth="1"/>
    <col min="14" max="16384" width="9.33203125" style="10"/>
  </cols>
  <sheetData>
    <row r="1" spans="1:12" ht="5.0999999999999996" customHeight="1">
      <c r="A1" s="79"/>
      <c r="B1" s="79"/>
      <c r="C1" s="79"/>
      <c r="D1" s="79"/>
      <c r="E1" s="79"/>
      <c r="F1" s="79"/>
      <c r="G1" s="79"/>
    </row>
    <row r="2" spans="1:12">
      <c r="A2" s="79"/>
      <c r="B2" s="110" t="s">
        <v>10</v>
      </c>
      <c r="C2" s="79"/>
      <c r="D2" s="79"/>
      <c r="E2" s="79"/>
      <c r="F2" s="79"/>
      <c r="G2" s="92">
        <f ca="1">TODAY()</f>
        <v>42390</v>
      </c>
    </row>
    <row r="3" spans="1:12">
      <c r="A3" s="79"/>
      <c r="B3" s="110" t="s">
        <v>384</v>
      </c>
      <c r="C3" s="79"/>
      <c r="D3" s="79"/>
      <c r="E3" s="79"/>
      <c r="F3" s="79"/>
      <c r="G3" s="79"/>
    </row>
    <row r="4" spans="1:12">
      <c r="A4" s="79"/>
      <c r="B4" s="79"/>
      <c r="C4" s="79"/>
      <c r="D4" s="79"/>
      <c r="E4" s="79"/>
      <c r="F4" s="79"/>
      <c r="G4" s="79"/>
    </row>
    <row r="6" spans="1:12">
      <c r="B6" s="12"/>
      <c r="C6" s="13"/>
    </row>
    <row r="7" spans="1:12" ht="15" customHeight="1">
      <c r="B7" s="12" t="str">
        <f>"NY LØN     UDGIFTSBEREGNING     "&amp;Dato3</f>
        <v>NY LØN     UDGIFTSBEREGNING     1. JANUAR 2016</v>
      </c>
      <c r="C7" s="13"/>
      <c r="D7" s="13"/>
      <c r="E7" s="13"/>
      <c r="F7" s="13"/>
      <c r="G7" s="13"/>
      <c r="H7" s="10" t="s">
        <v>7</v>
      </c>
    </row>
    <row r="8" spans="1:12" ht="15" customHeight="1"/>
    <row r="9" spans="1:12" ht="15" customHeight="1">
      <c r="B9" s="14" t="s">
        <v>104</v>
      </c>
    </row>
    <row r="10" spans="1:12" ht="15" customHeight="1">
      <c r="B10" s="15"/>
    </row>
    <row r="11" spans="1:12" ht="15" customHeight="1">
      <c r="B11" s="14" t="s">
        <v>11</v>
      </c>
      <c r="C11" s="16"/>
      <c r="D11" s="17"/>
      <c r="E11" s="17"/>
      <c r="F11" s="18"/>
    </row>
    <row r="12" spans="1:12" ht="15" customHeight="1"/>
    <row r="13" spans="1:12" ht="15" customHeight="1">
      <c r="B13" s="14" t="s">
        <v>98</v>
      </c>
      <c r="D13" s="279"/>
      <c r="F13" s="19"/>
    </row>
    <row r="14" spans="1:12" ht="15" customHeight="1">
      <c r="B14" s="14" t="s">
        <v>99</v>
      </c>
      <c r="D14" s="279">
        <v>37</v>
      </c>
      <c r="E14" s="293"/>
      <c r="F14" s="82"/>
      <c r="G14" s="20"/>
    </row>
    <row r="15" spans="1:12" ht="15" customHeight="1">
      <c r="B15" s="14" t="s">
        <v>105</v>
      </c>
      <c r="D15" s="279">
        <v>0</v>
      </c>
      <c r="E15" s="297" t="s">
        <v>323</v>
      </c>
      <c r="F15" s="82"/>
      <c r="K15" s="100" t="s">
        <v>273</v>
      </c>
      <c r="L15" s="100">
        <f>VLOOKUP(LønkodeUd,TabelPctReg,2)</f>
        <v>31.779800000000002</v>
      </c>
    </row>
    <row r="16" spans="1:12" ht="15" customHeight="1">
      <c r="B16" s="21"/>
      <c r="E16" s="297" t="s">
        <v>324</v>
      </c>
      <c r="F16" s="82"/>
      <c r="G16" s="83"/>
      <c r="H16" s="83"/>
      <c r="K16" s="10" t="s">
        <v>282</v>
      </c>
      <c r="L16" s="285" t="str">
        <f>TEXT(VLOOKUP(LønkodeUd,TabelPctReg,3),"d/m-åååå")</f>
        <v>31/3-2000</v>
      </c>
    </row>
    <row r="17" spans="2:8" ht="15" customHeight="1">
      <c r="B17" s="22" t="s">
        <v>267</v>
      </c>
      <c r="C17" s="23"/>
      <c r="D17" s="280"/>
      <c r="E17" s="15" t="s">
        <v>266</v>
      </c>
      <c r="F17" s="294"/>
      <c r="G17" s="83"/>
      <c r="H17" s="83"/>
    </row>
    <row r="18" spans="2:8" ht="15" customHeight="1">
      <c r="B18" s="24"/>
      <c r="C18" s="21"/>
      <c r="D18" s="23"/>
      <c r="E18" s="25"/>
      <c r="F18" s="294"/>
      <c r="G18" s="23"/>
    </row>
    <row r="19" spans="2:8" ht="15" customHeight="1">
      <c r="B19" s="26" t="s">
        <v>18</v>
      </c>
      <c r="C19" s="27" t="s">
        <v>19</v>
      </c>
      <c r="D19" s="28" t="s">
        <v>20</v>
      </c>
      <c r="E19" s="29" t="s">
        <v>21</v>
      </c>
      <c r="F19" s="30" t="s">
        <v>5</v>
      </c>
      <c r="G19" s="93" t="s">
        <v>22</v>
      </c>
    </row>
    <row r="20" spans="2:8" ht="15" customHeight="1">
      <c r="B20" s="31"/>
      <c r="C20" s="32"/>
      <c r="D20" s="33"/>
      <c r="E20" s="34" t="s">
        <v>23</v>
      </c>
      <c r="F20" s="34" t="s">
        <v>23</v>
      </c>
      <c r="G20" s="34" t="s">
        <v>23</v>
      </c>
    </row>
    <row r="21" spans="2:8" ht="15" customHeight="1">
      <c r="B21" s="31"/>
      <c r="C21" s="32"/>
      <c r="D21" s="33" t="str">
        <f>PctRegUdDato</f>
        <v>31/3-2000</v>
      </c>
      <c r="E21" s="34"/>
      <c r="F21" s="35"/>
      <c r="G21" s="91">
        <f>D17/100</f>
        <v>0</v>
      </c>
    </row>
    <row r="22" spans="2:8" ht="15" customHeight="1">
      <c r="B22" s="36"/>
      <c r="C22" s="37"/>
      <c r="D22" s="38" t="s">
        <v>214</v>
      </c>
      <c r="E22" s="39">
        <f>Dato1</f>
        <v>42370</v>
      </c>
      <c r="F22" s="39">
        <f>Dato1</f>
        <v>42370</v>
      </c>
      <c r="G22" s="39">
        <f>Dato1</f>
        <v>42370</v>
      </c>
    </row>
    <row r="23" spans="2:8" ht="15" customHeight="1">
      <c r="B23" s="36" t="s">
        <v>24</v>
      </c>
      <c r="C23" s="40"/>
      <c r="D23" s="41"/>
      <c r="E23" s="42">
        <f>ROUND(VLOOKUP(C23,TabelLønninger,StartKolonneUdLøn,1)*TællerUd/NævnerUd,2)</f>
        <v>0</v>
      </c>
      <c r="F23" s="43"/>
      <c r="G23" s="42">
        <f>ROUND(VLOOKUP(C23,TabelLønninger,VLOOKUP(LønkodeUd,TabelPensgivLøn,2))*PensionsprocentUdgift/100/12*TællerUd/NævnerUd,2)</f>
        <v>0</v>
      </c>
    </row>
    <row r="24" spans="2:8" ht="15" customHeight="1">
      <c r="B24" s="36" t="s">
        <v>25</v>
      </c>
      <c r="C24" s="44"/>
      <c r="D24" s="41"/>
      <c r="E24" s="45">
        <f>ROUND(VLOOKUP(C24,TabelLønninger,StartKolonneUdLøn,1)*TællerUd/NævnerUd,2)</f>
        <v>0</v>
      </c>
      <c r="F24" s="46"/>
      <c r="G24" s="45">
        <f>ROUND(VLOOKUP(C24,TabelLønninger,VLOOKUP(LønkodeUd,TabelPensgivLøn,2))*PensionsprocentUdgift/100/12*TællerUd/NævnerUd,2)</f>
        <v>0</v>
      </c>
    </row>
    <row r="25" spans="2:8" ht="15" customHeight="1" thickBot="1">
      <c r="B25" s="36" t="s">
        <v>26</v>
      </c>
      <c r="C25" s="47">
        <f>C24-C23</f>
        <v>0</v>
      </c>
      <c r="D25" s="48"/>
      <c r="E25" s="49">
        <f>E24-E23</f>
        <v>0</v>
      </c>
      <c r="F25" s="50"/>
      <c r="G25" s="51">
        <f>G24-G23</f>
        <v>0</v>
      </c>
    </row>
    <row r="26" spans="2:8" ht="15" customHeight="1" thickTop="1">
      <c r="B26" s="36" t="s">
        <v>27</v>
      </c>
      <c r="C26" s="52"/>
      <c r="D26" s="53"/>
      <c r="E26" s="54"/>
      <c r="F26" s="55">
        <f>ROUND(D26/12*(1+PctRegUd%)*TællerUd/NævnerUd,2)</f>
        <v>0</v>
      </c>
      <c r="G26" s="56">
        <f>ROUND(F26*PensionsprocentUdgift/100,2)</f>
        <v>0</v>
      </c>
    </row>
    <row r="27" spans="2:8" ht="15" customHeight="1">
      <c r="B27" s="36" t="s">
        <v>28</v>
      </c>
      <c r="C27" s="57"/>
      <c r="D27" s="58"/>
      <c r="E27" s="59"/>
      <c r="F27" s="60">
        <f>ROUND(D27/12*(1+PctRegUd%)*TællerUd/NævnerUd,2)</f>
        <v>0</v>
      </c>
      <c r="G27" s="45">
        <f>ROUND(F27*PensionsprocentUdgift/100,2)</f>
        <v>0</v>
      </c>
    </row>
    <row r="28" spans="2:8" ht="15" customHeight="1" thickBot="1">
      <c r="B28" s="36" t="s">
        <v>29</v>
      </c>
      <c r="C28" s="61"/>
      <c r="D28" s="62">
        <f>D27-D26</f>
        <v>0</v>
      </c>
      <c r="E28" s="63"/>
      <c r="F28" s="64">
        <f>F27-F26</f>
        <v>0</v>
      </c>
      <c r="G28" s="65">
        <f>G27-G26</f>
        <v>0</v>
      </c>
    </row>
    <row r="29" spans="2:8" ht="15" customHeight="1" thickTop="1">
      <c r="B29" s="286" t="str">
        <f>"* Tillæg pr. år i "&amp;PctRegUdDato&amp;" niveau kan opgøres ved at indtaste nutidsværdien i række 43"</f>
        <v>* Tillæg pr. år i 31/3-2000 niveau kan opgøres ved at indtaste nutidsværdien i række 43</v>
      </c>
      <c r="G29" s="66"/>
    </row>
    <row r="30" spans="2:8" ht="15" customHeight="1">
      <c r="B30" s="20"/>
      <c r="G30" s="66"/>
    </row>
    <row r="31" spans="2:8" ht="15" customHeight="1">
      <c r="B31" s="15" t="s">
        <v>172</v>
      </c>
      <c r="C31" s="15"/>
      <c r="D31" s="67" t="s">
        <v>31</v>
      </c>
      <c r="E31" s="68"/>
      <c r="F31" s="69" t="s">
        <v>32</v>
      </c>
      <c r="G31" s="11"/>
    </row>
    <row r="32" spans="2:8" ht="15" customHeight="1">
      <c r="B32" s="15" t="s">
        <v>19</v>
      </c>
      <c r="C32" s="94" t="s">
        <v>33</v>
      </c>
      <c r="D32" s="70">
        <f>E25</f>
        <v>0</v>
      </c>
      <c r="E32" s="11"/>
      <c r="F32" s="71">
        <f>E25</f>
        <v>0</v>
      </c>
      <c r="G32" s="11"/>
    </row>
    <row r="33" spans="2:7" ht="15" customHeight="1">
      <c r="B33" s="15" t="s">
        <v>5</v>
      </c>
      <c r="C33" s="94" t="s">
        <v>33</v>
      </c>
      <c r="D33" s="70">
        <f>F28</f>
        <v>0</v>
      </c>
      <c r="E33" s="11"/>
      <c r="F33" s="70">
        <f>F28</f>
        <v>0</v>
      </c>
      <c r="G33" s="11"/>
    </row>
    <row r="34" spans="2:7" ht="15" customHeight="1">
      <c r="B34" s="15" t="s">
        <v>22</v>
      </c>
      <c r="C34" s="94" t="s">
        <v>33</v>
      </c>
      <c r="D34" s="70">
        <f>G25+G28</f>
        <v>0</v>
      </c>
      <c r="E34" s="11"/>
      <c r="F34" s="70">
        <f>G25+G28</f>
        <v>0</v>
      </c>
      <c r="G34" s="68"/>
    </row>
    <row r="35" spans="2:7" ht="15" customHeight="1">
      <c r="B35" s="15" t="s">
        <v>321</v>
      </c>
      <c r="C35" s="94" t="s">
        <v>33</v>
      </c>
      <c r="D35" s="70">
        <f>ROUND((D32+D33)*1.95%,2)</f>
        <v>0</v>
      </c>
      <c r="E35" s="11"/>
      <c r="F35" s="70">
        <f>ROUND((F32+F33)*12.5%,2)</f>
        <v>0</v>
      </c>
      <c r="G35" s="68"/>
    </row>
    <row r="36" spans="2:7" ht="15" customHeight="1">
      <c r="B36" s="15" t="s">
        <v>34</v>
      </c>
      <c r="C36" s="94" t="s">
        <v>33</v>
      </c>
      <c r="D36" s="72"/>
      <c r="E36" s="35" t="s">
        <v>35</v>
      </c>
      <c r="F36" s="73"/>
      <c r="G36" s="68"/>
    </row>
    <row r="37" spans="2:7" ht="15" customHeight="1">
      <c r="B37" s="74" t="s">
        <v>36</v>
      </c>
      <c r="C37" s="95" t="s">
        <v>33</v>
      </c>
      <c r="D37" s="75"/>
      <c r="E37" s="15"/>
      <c r="F37" s="76"/>
      <c r="G37" s="11"/>
    </row>
    <row r="38" spans="2:7" ht="15" customHeight="1" thickBot="1">
      <c r="B38" s="77" t="s">
        <v>37</v>
      </c>
      <c r="C38" s="96" t="s">
        <v>33</v>
      </c>
      <c r="D38" s="78">
        <f>SUM(D32:D37)</f>
        <v>0</v>
      </c>
      <c r="E38" s="11"/>
      <c r="F38" s="78">
        <f>SUM(F32:F37)</f>
        <v>0</v>
      </c>
      <c r="G38" s="11"/>
    </row>
    <row r="39" spans="2:7" ht="15" customHeight="1" thickTop="1">
      <c r="B39" s="79"/>
      <c r="C39" s="97"/>
      <c r="D39" s="80"/>
    </row>
    <row r="40" spans="2:7" ht="15" customHeight="1" thickBot="1">
      <c r="B40" s="77" t="s">
        <v>38</v>
      </c>
      <c r="C40" s="96" t="s">
        <v>33</v>
      </c>
      <c r="D40" s="78">
        <f>D38*12</f>
        <v>0</v>
      </c>
      <c r="E40" s="11"/>
      <c r="F40" s="78">
        <f>F38*12</f>
        <v>0</v>
      </c>
    </row>
    <row r="41" spans="2:7" ht="15" customHeight="1" thickTop="1"/>
    <row r="42" spans="2:7" ht="15" customHeight="1">
      <c r="B42" s="11" t="s">
        <v>219</v>
      </c>
    </row>
    <row r="43" spans="2:7">
      <c r="B43" s="15" t="s">
        <v>39</v>
      </c>
      <c r="D43" s="72"/>
      <c r="F43" s="72"/>
    </row>
    <row r="44" spans="2:7">
      <c r="B44" s="15" t="str">
        <f>"Nettoløn "&amp;Dato4</f>
        <v>Nettoløn 1/1-2016</v>
      </c>
      <c r="D44" s="70">
        <f>D43/(1+PensionsprocentUdgift/100+0.015)</f>
        <v>0</v>
      </c>
      <c r="F44" s="70">
        <f>F43/(1+PensionsprocentUdgift/100+0.125)</f>
        <v>0</v>
      </c>
    </row>
    <row r="45" spans="2:7" ht="13.5" thickBot="1">
      <c r="B45" s="77" t="str">
        <f>"Nettoløn "&amp;PctRegUdDato&amp;" niveau"</f>
        <v>Nettoløn 31/3-2000 niveau</v>
      </c>
      <c r="C45" s="81"/>
      <c r="D45" s="78">
        <f>ROUND(D44/(1+PctRegUd/100),0)</f>
        <v>0</v>
      </c>
      <c r="F45" s="78">
        <f>ROUND(F44/(1+PctRegUd/100),0)</f>
        <v>0</v>
      </c>
    </row>
    <row r="46" spans="2:7" ht="13.5" thickTop="1"/>
    <row r="47" spans="2:7">
      <c r="B47" s="11" t="s">
        <v>322</v>
      </c>
    </row>
    <row r="48" spans="2:7">
      <c r="B48" s="15" t="str">
        <f>"Nettoløn "&amp;Dato4</f>
        <v>Nettoløn 1/1-2016</v>
      </c>
      <c r="D48" s="70">
        <f>D44*0.0195</f>
        <v>0</v>
      </c>
      <c r="F48" s="70">
        <f>F44*0.125</f>
        <v>0</v>
      </c>
    </row>
    <row r="49" spans="2:6" ht="13.5" thickBot="1">
      <c r="B49" s="77" t="str">
        <f>"Nettoløn "&amp;PctRegUdDato&amp;" niveau"</f>
        <v>Nettoløn 31/3-2000 niveau</v>
      </c>
      <c r="C49" s="81"/>
      <c r="D49" s="78">
        <f>ROUND(D48/(1+PctRegUd/100),0)</f>
        <v>0</v>
      </c>
      <c r="F49" s="78">
        <f>ROUND(F48/(1+PctRegUd/100),0)</f>
        <v>0</v>
      </c>
    </row>
    <row r="50" spans="2:6" ht="13.5" thickTop="1"/>
  </sheetData>
  <sheetProtection password="CF28" sheet="1"/>
  <phoneticPr fontId="0" type="noConversion"/>
  <pageMargins left="0.59055118110236227" right="0.39370078740157483" top="0.39370078740157483" bottom="0.39370078740157483" header="0" footer="0.39370078740157483"/>
  <pageSetup paperSize="9" scale="89" orientation="portrait" blackAndWhite="1" horizontalDpi="4294967292" r:id="rId1"/>
  <headerFooter alignWithMargins="0">
    <oddFooter>&amp;CSide &amp;P af 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3"/>
  <dimension ref="A1:AX308"/>
  <sheetViews>
    <sheetView workbookViewId="0">
      <pane xSplit="2" ySplit="20" topLeftCell="C21" activePane="bottomRight" state="frozen"/>
      <selection pane="topRight" activeCell="C1" sqref="C1"/>
      <selection pane="bottomLeft" activeCell="A18" sqref="A18"/>
      <selection pane="bottomRight" activeCell="R1" sqref="R1:S1"/>
    </sheetView>
  </sheetViews>
  <sheetFormatPr defaultRowHeight="9"/>
  <cols>
    <col min="1" max="1" width="10.1640625" style="144" customWidth="1"/>
    <col min="2" max="2" width="19.6640625" style="144" customWidth="1"/>
    <col min="3" max="3" width="3" style="144" customWidth="1"/>
    <col min="4" max="4" width="6.83203125" style="144" customWidth="1"/>
    <col min="5" max="5" width="9.1640625" style="144" bestFit="1" customWidth="1"/>
    <col min="6" max="6" width="6" style="144" bestFit="1" customWidth="1"/>
    <col min="7" max="7" width="5.83203125" style="144" bestFit="1" customWidth="1"/>
    <col min="8" max="8" width="6.83203125" style="144" bestFit="1" customWidth="1"/>
    <col min="9" max="13" width="6.83203125" style="144" customWidth="1"/>
    <col min="14" max="17" width="7.5" style="145" customWidth="1"/>
    <col min="18" max="19" width="7.5" style="144" customWidth="1"/>
    <col min="20" max="20" width="6.33203125" style="144" customWidth="1"/>
    <col min="21" max="32" width="10.1640625" style="144" hidden="1" customWidth="1"/>
    <col min="33" max="33" width="6.1640625" style="144" hidden="1" customWidth="1"/>
    <col min="34" max="43" width="10.1640625" style="144" hidden="1" customWidth="1"/>
    <col min="44" max="44" width="7.5" style="144" hidden="1" customWidth="1"/>
    <col min="45" max="45" width="7.33203125" style="144" hidden="1" customWidth="1"/>
    <col min="46" max="46" width="8.33203125" style="144" hidden="1" customWidth="1"/>
    <col min="47" max="47" width="11.1640625" style="144" hidden="1" customWidth="1"/>
    <col min="48" max="48" width="7.1640625" style="144" hidden="1" customWidth="1"/>
    <col min="49" max="49" width="9.83203125" style="144" hidden="1" customWidth="1"/>
    <col min="50" max="50" width="9.1640625" style="144" hidden="1" customWidth="1"/>
    <col min="51" max="16384" width="9.33203125" style="144"/>
  </cols>
  <sheetData>
    <row r="1" spans="1:49" ht="9" customHeight="1">
      <c r="A1" s="143" t="str">
        <f>"PULJEBELASTNING "&amp;Puljeår</f>
        <v xml:space="preserve">PULJEBELASTNING </v>
      </c>
      <c r="D1" s="143"/>
      <c r="E1" s="143"/>
      <c r="F1" s="143"/>
      <c r="R1" s="678">
        <f ca="1">TODAY()</f>
        <v>42390</v>
      </c>
      <c r="S1" s="678"/>
    </row>
    <row r="2" spans="1:49" ht="9.75" thickBot="1"/>
    <row r="3" spans="1:49">
      <c r="A3" s="143" t="str">
        <f>"Lønninger pr. "&amp; Dato2</f>
        <v>Lønninger pr. 1. januar 2016</v>
      </c>
      <c r="J3" s="146"/>
      <c r="K3" s="147"/>
      <c r="L3" s="147"/>
      <c r="M3" s="147"/>
      <c r="N3" s="147"/>
      <c r="O3" s="147"/>
      <c r="P3" s="147"/>
      <c r="Q3" s="148" t="s">
        <v>59</v>
      </c>
      <c r="R3" s="148"/>
      <c r="S3" s="247"/>
      <c r="AM3" s="145"/>
      <c r="AN3" s="145"/>
      <c r="AO3" s="145"/>
      <c r="AP3" s="145"/>
      <c r="AQ3" s="145"/>
      <c r="AR3" s="145"/>
      <c r="AS3" s="145"/>
    </row>
    <row r="4" spans="1:49">
      <c r="J4" s="149"/>
      <c r="K4" s="150"/>
      <c r="L4" s="150"/>
      <c r="M4" s="150"/>
      <c r="N4" s="150"/>
      <c r="O4" s="150"/>
      <c r="P4" s="150"/>
      <c r="Q4" s="151" t="s">
        <v>60</v>
      </c>
      <c r="R4" s="151" t="s">
        <v>60</v>
      </c>
      <c r="S4" s="248" t="s">
        <v>60</v>
      </c>
      <c r="AM4" s="145"/>
      <c r="AN4" s="145"/>
      <c r="AO4" s="145"/>
      <c r="AP4" s="145"/>
      <c r="AQ4" s="145"/>
      <c r="AR4" s="145"/>
      <c r="AS4" s="145"/>
    </row>
    <row r="5" spans="1:49" ht="9.75" thickBot="1">
      <c r="A5" s="216" t="s">
        <v>247</v>
      </c>
      <c r="B5" s="217"/>
      <c r="J5" s="152"/>
      <c r="K5" s="153"/>
      <c r="L5" s="153"/>
      <c r="M5" s="153"/>
      <c r="N5" s="153"/>
      <c r="O5" s="153"/>
      <c r="P5" s="153"/>
      <c r="Q5" s="154">
        <f>Puljeår</f>
        <v>0</v>
      </c>
      <c r="R5" s="154">
        <f>Puljeår+1</f>
        <v>1</v>
      </c>
      <c r="S5" s="249">
        <f>Puljeår+2</f>
        <v>2</v>
      </c>
      <c r="AM5" s="145"/>
      <c r="AN5" s="145"/>
      <c r="AO5" s="145"/>
      <c r="AP5" s="145"/>
      <c r="AQ5" s="145"/>
      <c r="AR5" s="145"/>
      <c r="AS5" s="145"/>
    </row>
    <row r="6" spans="1:49">
      <c r="A6" s="218"/>
      <c r="B6" s="219"/>
      <c r="J6" s="197" t="s">
        <v>231</v>
      </c>
      <c r="K6" s="196"/>
      <c r="L6" s="155"/>
      <c r="M6" s="155"/>
      <c r="N6" s="155"/>
      <c r="O6" s="155"/>
      <c r="P6" s="155"/>
      <c r="Q6" s="235">
        <v>0</v>
      </c>
      <c r="R6" s="235">
        <v>0</v>
      </c>
      <c r="S6" s="291">
        <v>0</v>
      </c>
      <c r="AM6" s="145"/>
      <c r="AN6" s="145"/>
      <c r="AO6" s="145"/>
      <c r="AP6" s="145"/>
      <c r="AQ6" s="145"/>
      <c r="AR6" s="145"/>
      <c r="AS6" s="145"/>
    </row>
    <row r="7" spans="1:49">
      <c r="A7" s="216" t="s">
        <v>248</v>
      </c>
      <c r="B7" s="217"/>
      <c r="J7" s="239" t="s">
        <v>325</v>
      </c>
      <c r="K7" s="238"/>
      <c r="L7" s="156"/>
      <c r="M7" s="156"/>
      <c r="N7" s="156"/>
      <c r="O7" s="156"/>
      <c r="P7" s="156"/>
      <c r="Q7" s="298">
        <v>0</v>
      </c>
      <c r="R7" s="298">
        <v>0</v>
      </c>
      <c r="S7" s="299">
        <v>0</v>
      </c>
      <c r="AM7" s="145"/>
      <c r="AN7" s="145"/>
      <c r="AO7" s="145"/>
      <c r="AP7" s="145"/>
      <c r="AQ7" s="145"/>
      <c r="AR7" s="145"/>
      <c r="AS7" s="145"/>
    </row>
    <row r="8" spans="1:49">
      <c r="A8" s="218"/>
      <c r="B8" s="219"/>
      <c r="J8" s="237" t="s">
        <v>173</v>
      </c>
      <c r="K8" s="196"/>
      <c r="L8" s="155"/>
      <c r="M8" s="155"/>
      <c r="N8" s="155"/>
      <c r="O8" s="155"/>
      <c r="P8" s="155"/>
      <c r="Q8" s="214">
        <f>SUM(Q6:Q7)</f>
        <v>0</v>
      </c>
      <c r="R8" s="235">
        <f>SUM(R6:R7)</f>
        <v>0</v>
      </c>
      <c r="S8" s="215">
        <f>SUM(S6:S7)</f>
        <v>0</v>
      </c>
      <c r="AM8" s="145"/>
      <c r="AN8" s="145"/>
      <c r="AO8" s="145"/>
      <c r="AP8" s="145"/>
      <c r="AQ8" s="145"/>
      <c r="AR8" s="145"/>
      <c r="AS8" s="145"/>
    </row>
    <row r="9" spans="1:49" ht="9" customHeight="1">
      <c r="A9" s="212"/>
      <c r="B9" s="212"/>
      <c r="J9" s="213" t="s">
        <v>167</v>
      </c>
      <c r="K9" s="196"/>
      <c r="L9" s="155"/>
      <c r="M9" s="155"/>
      <c r="N9" s="155"/>
      <c r="O9" s="155"/>
      <c r="P9" s="155"/>
      <c r="Q9" s="214">
        <f>SUMIF(V:V,1,AS:AS)*-1</f>
        <v>0</v>
      </c>
      <c r="R9" s="214">
        <f>SUMIF(V:V,1,AT:AT)*-1</f>
        <v>0</v>
      </c>
      <c r="S9" s="215">
        <f>SUMIF(V:V,1,AU:AU)*-1</f>
        <v>0</v>
      </c>
      <c r="AM9" s="145"/>
      <c r="AN9" s="145"/>
      <c r="AO9" s="145"/>
      <c r="AP9" s="145"/>
      <c r="AQ9" s="145"/>
      <c r="AR9" s="145"/>
      <c r="AS9" s="145"/>
    </row>
    <row r="10" spans="1:49" ht="9" customHeight="1" thickBot="1">
      <c r="J10" s="290" t="s">
        <v>286</v>
      </c>
      <c r="K10" s="289"/>
      <c r="L10" s="289"/>
      <c r="M10" s="289"/>
      <c r="N10" s="289"/>
      <c r="O10" s="289"/>
      <c r="P10" s="289"/>
      <c r="Q10" s="214">
        <f>SUMIF(V:V,0,AS:AS)*-1</f>
        <v>0</v>
      </c>
      <c r="R10" s="214">
        <f>SUMIF(V:V,0,AT:AT)*-1</f>
        <v>0</v>
      </c>
      <c r="S10" s="215">
        <f>SUMIF(V:V,0,AU:AU)*-1</f>
        <v>0</v>
      </c>
      <c r="AM10" s="145"/>
      <c r="AN10" s="145"/>
      <c r="AO10" s="145"/>
      <c r="AP10" s="145"/>
      <c r="AQ10" s="145"/>
      <c r="AR10" s="145"/>
      <c r="AS10" s="145"/>
    </row>
    <row r="11" spans="1:49" ht="9" customHeight="1" thickBot="1">
      <c r="J11" s="276" t="s">
        <v>61</v>
      </c>
      <c r="K11" s="277"/>
      <c r="L11" s="277"/>
      <c r="M11" s="277"/>
      <c r="N11" s="277"/>
      <c r="O11" s="277"/>
      <c r="P11" s="277"/>
      <c r="Q11" s="278">
        <f>SUM(Q8:Q10)</f>
        <v>0</v>
      </c>
      <c r="R11" s="278">
        <f>SUM(R8:R10)</f>
        <v>0</v>
      </c>
      <c r="S11" s="282">
        <f>SUM(S8:S10)</f>
        <v>0</v>
      </c>
      <c r="AM11" s="145"/>
      <c r="AN11" s="145"/>
      <c r="AO11" s="145"/>
      <c r="AP11" s="145"/>
      <c r="AQ11" s="145"/>
      <c r="AR11" s="145"/>
      <c r="AS11" s="145"/>
    </row>
    <row r="12" spans="1:49" ht="9.75" thickBot="1">
      <c r="A12" s="241" t="s">
        <v>178</v>
      </c>
      <c r="B12" s="241" t="s">
        <v>179</v>
      </c>
      <c r="C12" s="241" t="s">
        <v>176</v>
      </c>
      <c r="D12" s="241" t="s">
        <v>177</v>
      </c>
      <c r="E12" s="241" t="s">
        <v>180</v>
      </c>
      <c r="F12" s="241" t="s">
        <v>181</v>
      </c>
      <c r="G12" s="241" t="s">
        <v>182</v>
      </c>
      <c r="H12" s="241" t="s">
        <v>183</v>
      </c>
      <c r="I12" s="241" t="s">
        <v>184</v>
      </c>
      <c r="J12" s="241" t="s">
        <v>185</v>
      </c>
      <c r="K12" s="241" t="s">
        <v>193</v>
      </c>
      <c r="L12" s="241" t="s">
        <v>186</v>
      </c>
      <c r="M12" s="241" t="s">
        <v>194</v>
      </c>
      <c r="N12" s="241" t="s">
        <v>187</v>
      </c>
      <c r="O12" s="241" t="s">
        <v>188</v>
      </c>
      <c r="P12" s="241" t="s">
        <v>189</v>
      </c>
      <c r="Q12" s="241" t="s">
        <v>190</v>
      </c>
      <c r="R12" s="241" t="s">
        <v>191</v>
      </c>
      <c r="S12" s="241" t="s">
        <v>192</v>
      </c>
    </row>
    <row r="13" spans="1:49">
      <c r="A13" s="146" t="s">
        <v>174</v>
      </c>
      <c r="B13" s="147" t="s">
        <v>66</v>
      </c>
      <c r="C13" s="147" t="s">
        <v>114</v>
      </c>
      <c r="D13" s="147"/>
      <c r="E13" s="147" t="s">
        <v>107</v>
      </c>
      <c r="F13" s="147" t="s">
        <v>117</v>
      </c>
      <c r="G13" s="147" t="s">
        <v>62</v>
      </c>
      <c r="H13" s="147" t="s">
        <v>62</v>
      </c>
      <c r="I13" s="147" t="s">
        <v>150</v>
      </c>
      <c r="J13" s="147" t="s">
        <v>5</v>
      </c>
      <c r="K13" s="147" t="s">
        <v>121</v>
      </c>
      <c r="L13" s="147" t="s">
        <v>121</v>
      </c>
      <c r="M13" s="147" t="s">
        <v>63</v>
      </c>
      <c r="N13" s="147" t="s">
        <v>64</v>
      </c>
      <c r="O13" s="147" t="s">
        <v>64</v>
      </c>
      <c r="P13" s="147" t="s">
        <v>64</v>
      </c>
      <c r="Q13" s="148" t="s">
        <v>59</v>
      </c>
      <c r="R13" s="157"/>
      <c r="S13" s="247"/>
      <c r="U13" s="158"/>
      <c r="V13" s="158"/>
      <c r="W13" s="158"/>
      <c r="X13" s="158"/>
      <c r="Y13" s="158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</row>
    <row r="14" spans="1:49">
      <c r="A14" s="149"/>
      <c r="B14" s="150"/>
      <c r="C14" s="150" t="s">
        <v>115</v>
      </c>
      <c r="D14" s="150"/>
      <c r="E14" s="150" t="s">
        <v>108</v>
      </c>
      <c r="F14" s="150" t="s">
        <v>118</v>
      </c>
      <c r="G14" s="150" t="s">
        <v>67</v>
      </c>
      <c r="H14" s="150" t="s">
        <v>68</v>
      </c>
      <c r="I14" s="150" t="s">
        <v>69</v>
      </c>
      <c r="J14" s="150" t="s">
        <v>164</v>
      </c>
      <c r="K14" s="150" t="s">
        <v>122</v>
      </c>
      <c r="L14" s="150" t="s">
        <v>122</v>
      </c>
      <c r="M14" s="150" t="s">
        <v>71</v>
      </c>
      <c r="N14" s="271">
        <f>Puljeår</f>
        <v>0</v>
      </c>
      <c r="O14" s="271">
        <f>Puljeår+1</f>
        <v>1</v>
      </c>
      <c r="P14" s="271">
        <f>Puljeår+2</f>
        <v>2</v>
      </c>
      <c r="Q14" s="160" t="s">
        <v>60</v>
      </c>
      <c r="R14" s="160" t="s">
        <v>60</v>
      </c>
      <c r="S14" s="248" t="s">
        <v>60</v>
      </c>
    </row>
    <row r="15" spans="1:49">
      <c r="A15" s="149"/>
      <c r="B15" s="150"/>
      <c r="C15" s="150" t="s">
        <v>109</v>
      </c>
      <c r="D15" s="161"/>
      <c r="E15" s="161" t="s">
        <v>111</v>
      </c>
      <c r="F15" s="161" t="s">
        <v>119</v>
      </c>
      <c r="G15" s="150" t="s">
        <v>73</v>
      </c>
      <c r="H15" s="150" t="s">
        <v>74</v>
      </c>
      <c r="I15" s="150" t="s">
        <v>2</v>
      </c>
      <c r="J15" s="150" t="s">
        <v>165</v>
      </c>
      <c r="K15" s="150" t="s">
        <v>62</v>
      </c>
      <c r="L15" s="150" t="s">
        <v>71</v>
      </c>
      <c r="M15" s="150" t="s">
        <v>75</v>
      </c>
      <c r="N15" s="150" t="s">
        <v>62</v>
      </c>
      <c r="O15" s="150" t="s">
        <v>62</v>
      </c>
      <c r="P15" s="150" t="s">
        <v>62</v>
      </c>
      <c r="Q15" s="269">
        <f>Puljeår</f>
        <v>0</v>
      </c>
      <c r="R15" s="269">
        <f>Puljeår+1</f>
        <v>1</v>
      </c>
      <c r="S15" s="270">
        <f>Puljeår+2</f>
        <v>2</v>
      </c>
    </row>
    <row r="16" spans="1:49">
      <c r="A16" s="149"/>
      <c r="B16" s="150"/>
      <c r="C16" s="150" t="s">
        <v>110</v>
      </c>
      <c r="D16" s="161"/>
      <c r="E16" s="161" t="s">
        <v>112</v>
      </c>
      <c r="F16" s="161"/>
      <c r="G16" s="150" t="s">
        <v>116</v>
      </c>
      <c r="H16" s="150" t="s">
        <v>67</v>
      </c>
      <c r="I16" s="150"/>
      <c r="J16" s="195" t="s">
        <v>285</v>
      </c>
      <c r="K16" s="150" t="s">
        <v>123</v>
      </c>
      <c r="L16" s="150" t="s">
        <v>70</v>
      </c>
      <c r="M16" s="181"/>
      <c r="N16" s="150" t="s">
        <v>76</v>
      </c>
      <c r="O16" s="150" t="s">
        <v>76</v>
      </c>
      <c r="P16" s="150" t="s">
        <v>76</v>
      </c>
      <c r="Q16" s="162"/>
      <c r="R16" s="162"/>
      <c r="S16" s="250"/>
      <c r="U16" s="144" t="s">
        <v>166</v>
      </c>
      <c r="V16" s="144" t="s">
        <v>258</v>
      </c>
      <c r="W16" s="144" t="s">
        <v>136</v>
      </c>
      <c r="X16" s="144" t="s">
        <v>142</v>
      </c>
      <c r="Y16" s="144" t="s">
        <v>280</v>
      </c>
      <c r="Z16" s="144" t="s">
        <v>21</v>
      </c>
      <c r="AA16" s="144" t="s">
        <v>22</v>
      </c>
      <c r="AB16" s="144" t="s">
        <v>126</v>
      </c>
      <c r="AC16" s="144" t="s">
        <v>126</v>
      </c>
      <c r="AD16" s="144" t="s">
        <v>131</v>
      </c>
      <c r="AE16" s="144" t="s">
        <v>131</v>
      </c>
      <c r="AF16" s="144" t="s">
        <v>131</v>
      </c>
      <c r="AG16" s="144" t="s">
        <v>131</v>
      </c>
      <c r="AH16" s="144" t="s">
        <v>143</v>
      </c>
      <c r="AJ16" s="144" t="s">
        <v>132</v>
      </c>
      <c r="AK16" s="144" t="s">
        <v>132</v>
      </c>
      <c r="AM16" s="144" t="s">
        <v>77</v>
      </c>
      <c r="AN16" s="144" t="s">
        <v>134</v>
      </c>
      <c r="AO16" s="144" t="s">
        <v>139</v>
      </c>
      <c r="AS16" s="679" t="s">
        <v>269</v>
      </c>
      <c r="AT16" s="679"/>
      <c r="AU16" s="679"/>
      <c r="AW16" s="144" t="s">
        <v>158</v>
      </c>
    </row>
    <row r="17" spans="1:49">
      <c r="A17" s="149"/>
      <c r="B17" s="150"/>
      <c r="C17" s="150" t="s">
        <v>147</v>
      </c>
      <c r="D17" s="161"/>
      <c r="E17" s="161" t="s">
        <v>113</v>
      </c>
      <c r="F17" s="161"/>
      <c r="G17" s="150"/>
      <c r="H17" s="150" t="s">
        <v>73</v>
      </c>
      <c r="I17" s="150"/>
      <c r="J17" s="150"/>
      <c r="K17" s="150"/>
      <c r="L17" s="150" t="s">
        <v>212</v>
      </c>
      <c r="M17" s="150"/>
      <c r="N17" s="150"/>
      <c r="O17" s="150"/>
      <c r="P17" s="150"/>
      <c r="Q17" s="162"/>
      <c r="R17" s="162"/>
      <c r="S17" s="250"/>
      <c r="V17" s="144" t="s">
        <v>259</v>
      </c>
      <c r="X17" s="144" t="s">
        <v>144</v>
      </c>
      <c r="Y17" s="144" t="s">
        <v>281</v>
      </c>
      <c r="Z17" s="144" t="s">
        <v>125</v>
      </c>
      <c r="AA17" s="144" t="s">
        <v>125</v>
      </c>
      <c r="AB17" s="144" t="s">
        <v>125</v>
      </c>
      <c r="AC17" s="144" t="s">
        <v>22</v>
      </c>
      <c r="AD17" s="144" t="s">
        <v>2</v>
      </c>
      <c r="AE17" s="144" t="s">
        <v>2</v>
      </c>
      <c r="AF17" s="144" t="s">
        <v>5</v>
      </c>
      <c r="AG17" s="144" t="s">
        <v>5</v>
      </c>
      <c r="AH17" s="144" t="s">
        <v>125</v>
      </c>
      <c r="AJ17" s="144" t="s">
        <v>125</v>
      </c>
      <c r="AK17" s="144" t="s">
        <v>133</v>
      </c>
      <c r="AM17" s="144" t="s">
        <v>79</v>
      </c>
      <c r="AN17" s="144" t="s">
        <v>135</v>
      </c>
      <c r="AO17" s="163" t="s">
        <v>140</v>
      </c>
      <c r="AP17" s="163"/>
      <c r="AQ17" s="163"/>
      <c r="AR17" s="163"/>
      <c r="AS17" s="163"/>
      <c r="AT17" s="163"/>
      <c r="AU17" s="163"/>
      <c r="AW17" s="144" t="s">
        <v>159</v>
      </c>
    </row>
    <row r="18" spans="1:49">
      <c r="A18" s="149"/>
      <c r="B18" s="150"/>
      <c r="C18" s="150" t="s">
        <v>148</v>
      </c>
      <c r="D18" s="161"/>
      <c r="E18" s="161" t="s">
        <v>283</v>
      </c>
      <c r="F18" s="161"/>
      <c r="G18" s="150"/>
      <c r="H18" s="150" t="s">
        <v>116</v>
      </c>
      <c r="I18" s="150"/>
      <c r="J18" s="150"/>
      <c r="K18" s="150"/>
      <c r="L18" s="195" t="s">
        <v>285</v>
      </c>
      <c r="M18" s="150"/>
      <c r="N18" s="150"/>
      <c r="O18" s="150"/>
      <c r="P18" s="150"/>
      <c r="Q18" s="162"/>
      <c r="R18" s="162"/>
      <c r="S18" s="250"/>
      <c r="AC18" s="144" t="s">
        <v>125</v>
      </c>
      <c r="AD18" s="144" t="s">
        <v>125</v>
      </c>
      <c r="AE18" s="144" t="s">
        <v>125</v>
      </c>
      <c r="AF18" s="144" t="s">
        <v>125</v>
      </c>
      <c r="AG18" s="144" t="s">
        <v>125</v>
      </c>
      <c r="AM18" s="144" t="s">
        <v>80</v>
      </c>
      <c r="AN18" s="144" t="s">
        <v>136</v>
      </c>
      <c r="AO18" s="144" t="s">
        <v>141</v>
      </c>
      <c r="AP18" s="144" t="s">
        <v>141</v>
      </c>
      <c r="AQ18" s="144" t="s">
        <v>141</v>
      </c>
      <c r="AS18" s="281">
        <f>Q15</f>
        <v>0</v>
      </c>
      <c r="AT18" s="281">
        <f>R15</f>
        <v>1</v>
      </c>
      <c r="AU18" s="281">
        <f>S15</f>
        <v>2</v>
      </c>
      <c r="AW18" s="144">
        <f>MAX(AW20:AW308)</f>
        <v>0</v>
      </c>
    </row>
    <row r="19" spans="1:49">
      <c r="A19" s="149"/>
      <c r="B19" s="150"/>
      <c r="C19" s="150" t="s">
        <v>196</v>
      </c>
      <c r="D19" s="161"/>
      <c r="E19" s="161" t="s">
        <v>284</v>
      </c>
      <c r="F19" s="161"/>
      <c r="G19" s="150"/>
      <c r="H19" s="150"/>
      <c r="I19" s="150"/>
      <c r="J19" s="150"/>
      <c r="K19" s="150"/>
      <c r="L19" s="195"/>
      <c r="M19" s="150"/>
      <c r="N19" s="150"/>
      <c r="O19" s="150"/>
      <c r="P19" s="150"/>
      <c r="Q19" s="162"/>
      <c r="R19" s="162"/>
      <c r="S19" s="250"/>
      <c r="AE19" s="144" t="s">
        <v>22</v>
      </c>
      <c r="AG19" s="144" t="s">
        <v>22</v>
      </c>
      <c r="AQ19" s="144" t="s">
        <v>22</v>
      </c>
      <c r="AS19" s="281"/>
      <c r="AT19" s="281"/>
      <c r="AU19" s="281"/>
    </row>
    <row r="20" spans="1:49" ht="9.75" thickBot="1">
      <c r="A20" s="152"/>
      <c r="B20" s="153"/>
      <c r="C20" s="150"/>
      <c r="D20" s="161"/>
      <c r="E20" s="161" t="s">
        <v>288</v>
      </c>
      <c r="F20" s="161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64"/>
      <c r="R20" s="164"/>
      <c r="S20" s="246"/>
    </row>
    <row r="21" spans="1:49" ht="9.75" thickBot="1">
      <c r="A21" s="173"/>
      <c r="B21" s="174"/>
      <c r="C21" s="174"/>
      <c r="D21" s="165" t="str">
        <f t="shared" ref="D21:D111" si="0">VLOOKUP(C21,Tabelændringskode,2,1)</f>
        <v xml:space="preserve"> </v>
      </c>
      <c r="E21" s="177"/>
      <c r="F21" s="287">
        <v>0</v>
      </c>
      <c r="G21" s="177">
        <v>37</v>
      </c>
      <c r="H21" s="177">
        <v>37</v>
      </c>
      <c r="I21" s="177"/>
      <c r="J21" s="179"/>
      <c r="K21" s="177"/>
      <c r="L21" s="179"/>
      <c r="M21" s="166"/>
      <c r="N21" s="166"/>
      <c r="O21" s="166"/>
      <c r="P21" s="166"/>
      <c r="Q21" s="167"/>
      <c r="R21" s="167"/>
      <c r="S21" s="168"/>
      <c r="V21" s="144">
        <f>VLOOKUP(C21,TabelRammeforbrug,3,1)</f>
        <v>0</v>
      </c>
      <c r="W21" s="144">
        <f>VLOOKUP(C21,FraTil,3,1)</f>
        <v>0</v>
      </c>
      <c r="X21" s="144">
        <f>VLOOKUP(C21,JNferiepenge,3,1)</f>
        <v>0</v>
      </c>
      <c r="Y21" s="144">
        <f>VLOOKUP(E21,TabelPctReg,2)</f>
        <v>31.779800000000002</v>
      </c>
      <c r="Z21" s="169">
        <f t="shared" ref="Z21:Z84" si="1">ROUND(VLOOKUP(I21,TabelLønninger,VLOOKUP(E21,TabelLøntabel,2,1),1)*G21/H21,2)</f>
        <v>0</v>
      </c>
      <c r="AA21" s="274">
        <f t="shared" ref="AA21:AA84" si="2">ROUND(VLOOKUP(I21,TabelLønninger,VLOOKUP(E21,TabelPensgivLøn,2))*F21/12*G21/H21,2)</f>
        <v>0</v>
      </c>
      <c r="AB21" s="169">
        <f>ROUND(J21/12*(1+Y21%),2)*G21/H21</f>
        <v>0</v>
      </c>
      <c r="AC21" s="274">
        <f t="shared" ref="AC21:AC84" si="3">ROUND(AB21*F21,2)</f>
        <v>0</v>
      </c>
      <c r="AD21" s="169">
        <f t="shared" ref="AD21:AD84" si="4">ROUND(VLOOKUP(I21+K21,TabelLønninger,VLOOKUP(E21,TabelLøntabel,2,1),1)*G21/H21,2)-Z21</f>
        <v>0</v>
      </c>
      <c r="AE21" s="274">
        <f t="shared" ref="AE21:AE84" si="5">ROUND(VLOOKUP(I21+K21,TabelLønninger,VLOOKUP(E21,TabelPensgivLøn,2))*F21/12*G21/H21,2)-AA21</f>
        <v>0</v>
      </c>
      <c r="AF21" s="169">
        <f>ROUND(L21/12*(1+Y21%),2)*G21/H21</f>
        <v>0</v>
      </c>
      <c r="AG21" s="274">
        <f t="shared" ref="AG21:AG84" si="6">ROUND(AF21*F21,2)</f>
        <v>0</v>
      </c>
      <c r="AH21" s="169">
        <f>ROUND((Z21+AB21+AD21+AF21)*X21%,2)</f>
        <v>0</v>
      </c>
      <c r="AI21" s="169"/>
      <c r="AJ21" s="169">
        <f>SUM(Z21:AH21)</f>
        <v>0</v>
      </c>
      <c r="AK21" s="169">
        <f>AJ21*12</f>
        <v>0</v>
      </c>
      <c r="AL21" s="169"/>
      <c r="AM21" s="169"/>
      <c r="AN21" s="169"/>
      <c r="AO21" s="169"/>
      <c r="AP21" s="169"/>
      <c r="AQ21" s="169"/>
      <c r="AW21" s="144">
        <f>IF(ISNUMBER(C21),ROW(),0)</f>
        <v>0</v>
      </c>
    </row>
    <row r="22" spans="1:49" ht="9.75" thickBot="1">
      <c r="A22" s="175"/>
      <c r="B22" s="176"/>
      <c r="C22" s="176"/>
      <c r="D22" s="165" t="str">
        <f t="shared" si="0"/>
        <v xml:space="preserve"> </v>
      </c>
      <c r="E22" s="178"/>
      <c r="F22" s="287">
        <v>0</v>
      </c>
      <c r="G22" s="178">
        <v>37</v>
      </c>
      <c r="H22" s="178">
        <v>37</v>
      </c>
      <c r="I22" s="178"/>
      <c r="J22" s="180"/>
      <c r="K22" s="178"/>
      <c r="L22" s="180"/>
      <c r="M22" s="180"/>
      <c r="N22" s="178"/>
      <c r="O22" s="178"/>
      <c r="P22" s="178"/>
      <c r="Q22" s="171">
        <f>AS22</f>
        <v>0</v>
      </c>
      <c r="R22" s="171">
        <f>AT22</f>
        <v>0</v>
      </c>
      <c r="S22" s="172">
        <f>AU22</f>
        <v>0</v>
      </c>
      <c r="U22" s="144">
        <f>IF(OR(C21=5,C22=5),0,1)</f>
        <v>1</v>
      </c>
      <c r="V22" s="144">
        <f t="shared" ref="V22:V85" si="7">VLOOKUP(C22,TabelRammeforbrug,3,1)</f>
        <v>0</v>
      </c>
      <c r="W22" s="144">
        <f t="shared" ref="W22:W85" si="8">VLOOKUP(C22,FraTil,3,1)</f>
        <v>0</v>
      </c>
      <c r="X22" s="144">
        <f t="shared" ref="X22:X40" si="9">VLOOKUP(C22,JNferiepenge,3,1)</f>
        <v>0</v>
      </c>
      <c r="Y22" s="144">
        <f t="shared" ref="Y22:Y85" si="10">VLOOKUP(E22,TabelPctReg,2)</f>
        <v>31.779800000000002</v>
      </c>
      <c r="Z22" s="169">
        <f t="shared" si="1"/>
        <v>0</v>
      </c>
      <c r="AA22" s="274">
        <f t="shared" si="2"/>
        <v>0</v>
      </c>
      <c r="AB22" s="169">
        <f t="shared" ref="AB22:AB85" si="11">ROUND(J22/12*(1+Y22%),2)*G22/H22</f>
        <v>0</v>
      </c>
      <c r="AC22" s="274">
        <f t="shared" si="3"/>
        <v>0</v>
      </c>
      <c r="AD22" s="169">
        <f t="shared" si="4"/>
        <v>0</v>
      </c>
      <c r="AE22" s="274">
        <f t="shared" si="5"/>
        <v>0</v>
      </c>
      <c r="AF22" s="169">
        <f t="shared" ref="AF22:AF85" si="12">ROUND(L22/12*(1+Y22%),2)*G22/H22</f>
        <v>0</v>
      </c>
      <c r="AG22" s="274">
        <f t="shared" si="6"/>
        <v>0</v>
      </c>
      <c r="AH22" s="169">
        <f t="shared" ref="AH22:AH85" si="13">ROUND((Z22+AB22+AD22+AF22)*X22%,2)</f>
        <v>0</v>
      </c>
      <c r="AI22" s="169"/>
      <c r="AJ22" s="169">
        <f t="shared" ref="AJ22:AJ85" si="14">SUM(Z22:AH22)</f>
        <v>0</v>
      </c>
      <c r="AK22" s="169">
        <f t="shared" ref="AK22:AK85" si="15">AJ22*12</f>
        <v>0</v>
      </c>
      <c r="AL22" s="169"/>
      <c r="AM22" s="169">
        <f>AK21*W21+AK22*W22</f>
        <v>0</v>
      </c>
      <c r="AN22" s="169">
        <f>(SUM(AD21:AG21)*W21+SUM(AD22:AG22)*W22)*12*VLOOKUP(C22,JNovergang,3,1)</f>
        <v>0</v>
      </c>
      <c r="AO22" s="169">
        <f>AM22-AN22</f>
        <v>0</v>
      </c>
      <c r="AP22" s="169">
        <f>M22*(100+X22)%</f>
        <v>0</v>
      </c>
      <c r="AQ22" s="274">
        <f>ROUND(M22*F22,2)</f>
        <v>0</v>
      </c>
      <c r="AS22" s="274">
        <f>ROUND((AP22+AQ22)+AM22*(N22/12),0)</f>
        <v>0</v>
      </c>
      <c r="AT22" s="274">
        <f>ROUND(AM22*(O22/12),0)</f>
        <v>0</v>
      </c>
      <c r="AU22" s="274">
        <f>ROUND(AM22*(P22/12)*U22,0)</f>
        <v>0</v>
      </c>
      <c r="AW22" s="144">
        <f t="shared" ref="AW22:AW85" si="16">IF(ISNUMBER(C22),ROW(),0)</f>
        <v>0</v>
      </c>
    </row>
    <row r="23" spans="1:49">
      <c r="A23" s="173"/>
      <c r="B23" s="174"/>
      <c r="C23" s="174"/>
      <c r="D23" s="165" t="str">
        <f t="shared" si="0"/>
        <v xml:space="preserve"> </v>
      </c>
      <c r="E23" s="177"/>
      <c r="F23" s="287">
        <v>0</v>
      </c>
      <c r="G23" s="177">
        <v>37</v>
      </c>
      <c r="H23" s="177">
        <v>37</v>
      </c>
      <c r="I23" s="177"/>
      <c r="J23" s="179"/>
      <c r="K23" s="177"/>
      <c r="L23" s="179"/>
      <c r="M23" s="166"/>
      <c r="N23" s="166"/>
      <c r="O23" s="166"/>
      <c r="P23" s="166"/>
      <c r="Q23" s="167"/>
      <c r="R23" s="167"/>
      <c r="S23" s="168"/>
      <c r="V23" s="144">
        <f t="shared" si="7"/>
        <v>0</v>
      </c>
      <c r="W23" s="144">
        <f t="shared" si="8"/>
        <v>0</v>
      </c>
      <c r="X23" s="144">
        <f t="shared" si="9"/>
        <v>0</v>
      </c>
      <c r="Y23" s="144">
        <f t="shared" si="10"/>
        <v>31.779800000000002</v>
      </c>
      <c r="Z23" s="169">
        <f t="shared" si="1"/>
        <v>0</v>
      </c>
      <c r="AA23" s="274">
        <f t="shared" si="2"/>
        <v>0</v>
      </c>
      <c r="AB23" s="169">
        <f t="shared" si="11"/>
        <v>0</v>
      </c>
      <c r="AC23" s="274">
        <f t="shared" si="3"/>
        <v>0</v>
      </c>
      <c r="AD23" s="169">
        <f t="shared" si="4"/>
        <v>0</v>
      </c>
      <c r="AE23" s="274">
        <f t="shared" si="5"/>
        <v>0</v>
      </c>
      <c r="AF23" s="169">
        <f t="shared" si="12"/>
        <v>0</v>
      </c>
      <c r="AG23" s="274">
        <f t="shared" si="6"/>
        <v>0</v>
      </c>
      <c r="AH23" s="169">
        <f t="shared" si="13"/>
        <v>0</v>
      </c>
      <c r="AI23" s="169"/>
      <c r="AJ23" s="169">
        <f t="shared" si="14"/>
        <v>0</v>
      </c>
      <c r="AK23" s="169">
        <f t="shared" si="15"/>
        <v>0</v>
      </c>
      <c r="AL23" s="169"/>
      <c r="AM23" s="169"/>
      <c r="AN23" s="169"/>
      <c r="AQ23" s="169"/>
      <c r="AW23" s="144">
        <f t="shared" si="16"/>
        <v>0</v>
      </c>
    </row>
    <row r="24" spans="1:49" ht="9.75" thickBot="1">
      <c r="A24" s="175"/>
      <c r="B24" s="176"/>
      <c r="C24" s="176"/>
      <c r="D24" s="170" t="str">
        <f t="shared" si="0"/>
        <v xml:space="preserve"> </v>
      </c>
      <c r="E24" s="178"/>
      <c r="F24" s="288">
        <v>0</v>
      </c>
      <c r="G24" s="178">
        <v>37</v>
      </c>
      <c r="H24" s="178">
        <v>37</v>
      </c>
      <c r="I24" s="178"/>
      <c r="J24" s="180"/>
      <c r="K24" s="178"/>
      <c r="L24" s="180"/>
      <c r="M24" s="180"/>
      <c r="N24" s="178"/>
      <c r="O24" s="178"/>
      <c r="P24" s="178"/>
      <c r="Q24" s="171">
        <f>AS24</f>
        <v>0</v>
      </c>
      <c r="R24" s="171">
        <f>AT24</f>
        <v>0</v>
      </c>
      <c r="S24" s="172">
        <f>AU24</f>
        <v>0</v>
      </c>
      <c r="U24" s="144">
        <f>IF(OR(C23=5,C24=5),0,1)</f>
        <v>1</v>
      </c>
      <c r="V24" s="144">
        <f t="shared" si="7"/>
        <v>0</v>
      </c>
      <c r="W24" s="144">
        <f t="shared" si="8"/>
        <v>0</v>
      </c>
      <c r="X24" s="144">
        <f t="shared" si="9"/>
        <v>0</v>
      </c>
      <c r="Y24" s="144">
        <f t="shared" si="10"/>
        <v>31.779800000000002</v>
      </c>
      <c r="Z24" s="169">
        <f t="shared" si="1"/>
        <v>0</v>
      </c>
      <c r="AA24" s="274">
        <f t="shared" si="2"/>
        <v>0</v>
      </c>
      <c r="AB24" s="169">
        <f t="shared" si="11"/>
        <v>0</v>
      </c>
      <c r="AC24" s="274">
        <f t="shared" si="3"/>
        <v>0</v>
      </c>
      <c r="AD24" s="169">
        <f t="shared" si="4"/>
        <v>0</v>
      </c>
      <c r="AE24" s="274">
        <f t="shared" si="5"/>
        <v>0</v>
      </c>
      <c r="AF24" s="169">
        <f t="shared" si="12"/>
        <v>0</v>
      </c>
      <c r="AG24" s="274">
        <f t="shared" si="6"/>
        <v>0</v>
      </c>
      <c r="AH24" s="169">
        <f t="shared" si="13"/>
        <v>0</v>
      </c>
      <c r="AI24" s="169"/>
      <c r="AJ24" s="169">
        <f t="shared" si="14"/>
        <v>0</v>
      </c>
      <c r="AK24" s="169">
        <f t="shared" si="15"/>
        <v>0</v>
      </c>
      <c r="AL24" s="169"/>
      <c r="AM24" s="169">
        <f>AK23*W23+AK24*W24</f>
        <v>0</v>
      </c>
      <c r="AN24" s="169">
        <f>(SUM(AD23:AG23)*W23+SUM(AD24:AG24)*W24)*12*VLOOKUP(C24,JNovergang,3,1)</f>
        <v>0</v>
      </c>
      <c r="AO24" s="169">
        <f>AM24-AN24</f>
        <v>0</v>
      </c>
      <c r="AP24" s="169">
        <f>M24*(100+X24)%</f>
        <v>0</v>
      </c>
      <c r="AQ24" s="274">
        <f>ROUND(M24*F24,2)</f>
        <v>0</v>
      </c>
      <c r="AS24" s="274">
        <f>ROUND((AP24+AQ24)+AM24*(N24/12),0)</f>
        <v>0</v>
      </c>
      <c r="AT24" s="274">
        <f>ROUND(AM24*(O24/12),0)</f>
        <v>0</v>
      </c>
      <c r="AU24" s="274">
        <f>ROUND(AM24*(P24/12)*U24,0)</f>
        <v>0</v>
      </c>
      <c r="AW24" s="144">
        <f t="shared" si="16"/>
        <v>0</v>
      </c>
    </row>
    <row r="25" spans="1:49">
      <c r="A25" s="173"/>
      <c r="B25" s="174"/>
      <c r="C25" s="174"/>
      <c r="D25" s="165" t="str">
        <f t="shared" si="0"/>
        <v xml:space="preserve"> </v>
      </c>
      <c r="E25" s="177"/>
      <c r="F25" s="287">
        <v>0</v>
      </c>
      <c r="G25" s="177">
        <v>37</v>
      </c>
      <c r="H25" s="177">
        <v>37</v>
      </c>
      <c r="I25" s="177"/>
      <c r="J25" s="179"/>
      <c r="K25" s="177"/>
      <c r="L25" s="179"/>
      <c r="M25" s="166"/>
      <c r="N25" s="166"/>
      <c r="O25" s="166"/>
      <c r="P25" s="166"/>
      <c r="Q25" s="167"/>
      <c r="R25" s="167"/>
      <c r="S25" s="168"/>
      <c r="V25" s="144">
        <f t="shared" si="7"/>
        <v>0</v>
      </c>
      <c r="W25" s="144">
        <f t="shared" si="8"/>
        <v>0</v>
      </c>
      <c r="X25" s="144">
        <f t="shared" si="9"/>
        <v>0</v>
      </c>
      <c r="Y25" s="144">
        <f t="shared" si="10"/>
        <v>31.779800000000002</v>
      </c>
      <c r="Z25" s="169">
        <f t="shared" si="1"/>
        <v>0</v>
      </c>
      <c r="AA25" s="274">
        <f t="shared" si="2"/>
        <v>0</v>
      </c>
      <c r="AB25" s="169">
        <f t="shared" si="11"/>
        <v>0</v>
      </c>
      <c r="AC25" s="274">
        <f t="shared" si="3"/>
        <v>0</v>
      </c>
      <c r="AD25" s="169">
        <f t="shared" si="4"/>
        <v>0</v>
      </c>
      <c r="AE25" s="274">
        <f t="shared" si="5"/>
        <v>0</v>
      </c>
      <c r="AF25" s="169">
        <f t="shared" si="12"/>
        <v>0</v>
      </c>
      <c r="AG25" s="274">
        <f t="shared" si="6"/>
        <v>0</v>
      </c>
      <c r="AH25" s="169">
        <f t="shared" si="13"/>
        <v>0</v>
      </c>
      <c r="AI25" s="169"/>
      <c r="AJ25" s="169">
        <f t="shared" si="14"/>
        <v>0</v>
      </c>
      <c r="AK25" s="169">
        <f t="shared" si="15"/>
        <v>0</v>
      </c>
      <c r="AL25" s="169"/>
      <c r="AM25" s="169"/>
      <c r="AN25" s="169"/>
      <c r="AQ25" s="169"/>
      <c r="AW25" s="144">
        <f t="shared" si="16"/>
        <v>0</v>
      </c>
    </row>
    <row r="26" spans="1:49" ht="9.75" thickBot="1">
      <c r="A26" s="175"/>
      <c r="B26" s="176"/>
      <c r="C26" s="176"/>
      <c r="D26" s="170" t="str">
        <f t="shared" si="0"/>
        <v xml:space="preserve"> </v>
      </c>
      <c r="E26" s="178"/>
      <c r="F26" s="288">
        <v>0</v>
      </c>
      <c r="G26" s="178">
        <v>37</v>
      </c>
      <c r="H26" s="178">
        <v>37</v>
      </c>
      <c r="I26" s="178"/>
      <c r="J26" s="180"/>
      <c r="K26" s="178"/>
      <c r="L26" s="180"/>
      <c r="M26" s="180"/>
      <c r="N26" s="178"/>
      <c r="O26" s="178"/>
      <c r="P26" s="178"/>
      <c r="Q26" s="171">
        <f>AS26</f>
        <v>0</v>
      </c>
      <c r="R26" s="171">
        <f>AT26</f>
        <v>0</v>
      </c>
      <c r="S26" s="172">
        <f>AU26</f>
        <v>0</v>
      </c>
      <c r="U26" s="144">
        <f>IF(OR(C25=5,C26=5),0,1)</f>
        <v>1</v>
      </c>
      <c r="V26" s="144">
        <f t="shared" si="7"/>
        <v>0</v>
      </c>
      <c r="W26" s="144">
        <f t="shared" si="8"/>
        <v>0</v>
      </c>
      <c r="X26" s="144">
        <f t="shared" si="9"/>
        <v>0</v>
      </c>
      <c r="Y26" s="144">
        <f t="shared" si="10"/>
        <v>31.779800000000002</v>
      </c>
      <c r="Z26" s="169">
        <f t="shared" si="1"/>
        <v>0</v>
      </c>
      <c r="AA26" s="274">
        <f t="shared" si="2"/>
        <v>0</v>
      </c>
      <c r="AB26" s="169">
        <f t="shared" si="11"/>
        <v>0</v>
      </c>
      <c r="AC26" s="274">
        <f t="shared" si="3"/>
        <v>0</v>
      </c>
      <c r="AD26" s="169">
        <f t="shared" si="4"/>
        <v>0</v>
      </c>
      <c r="AE26" s="274">
        <f t="shared" si="5"/>
        <v>0</v>
      </c>
      <c r="AF26" s="169">
        <f t="shared" si="12"/>
        <v>0</v>
      </c>
      <c r="AG26" s="274">
        <f t="shared" si="6"/>
        <v>0</v>
      </c>
      <c r="AH26" s="169">
        <f t="shared" si="13"/>
        <v>0</v>
      </c>
      <c r="AI26" s="169"/>
      <c r="AJ26" s="169">
        <f t="shared" si="14"/>
        <v>0</v>
      </c>
      <c r="AK26" s="169">
        <f t="shared" si="15"/>
        <v>0</v>
      </c>
      <c r="AL26" s="169"/>
      <c r="AM26" s="169">
        <f>AK25*W25+AK26*W26</f>
        <v>0</v>
      </c>
      <c r="AN26" s="169">
        <f>(SUM(AD25:AG25)*W25+SUM(AD26:AG26)*W26)*12*VLOOKUP(C26,JNovergang,3,1)</f>
        <v>0</v>
      </c>
      <c r="AO26" s="169">
        <f>AM26-AN26</f>
        <v>0</v>
      </c>
      <c r="AP26" s="169">
        <f>M26*(100+X26)%</f>
        <v>0</v>
      </c>
      <c r="AQ26" s="274">
        <f>ROUND(M26*F26,2)</f>
        <v>0</v>
      </c>
      <c r="AS26" s="274">
        <f>ROUND((AP26+AQ26)+AM26*(N26/12),0)</f>
        <v>0</v>
      </c>
      <c r="AT26" s="274">
        <f>ROUND(AM26*(O26/12),0)</f>
        <v>0</v>
      </c>
      <c r="AU26" s="274">
        <f>ROUND(AM26*(P26/12)*U26,0)</f>
        <v>0</v>
      </c>
      <c r="AW26" s="144">
        <f t="shared" si="16"/>
        <v>0</v>
      </c>
    </row>
    <row r="27" spans="1:49">
      <c r="A27" s="173"/>
      <c r="B27" s="174"/>
      <c r="C27" s="174"/>
      <c r="D27" s="165" t="str">
        <f t="shared" si="0"/>
        <v xml:space="preserve"> </v>
      </c>
      <c r="E27" s="177"/>
      <c r="F27" s="287">
        <v>0</v>
      </c>
      <c r="G27" s="177">
        <v>37</v>
      </c>
      <c r="H27" s="177">
        <v>37</v>
      </c>
      <c r="I27" s="177"/>
      <c r="J27" s="179"/>
      <c r="K27" s="177"/>
      <c r="L27" s="179"/>
      <c r="M27" s="166"/>
      <c r="N27" s="166"/>
      <c r="O27" s="166"/>
      <c r="P27" s="166"/>
      <c r="Q27" s="167"/>
      <c r="R27" s="167"/>
      <c r="S27" s="168"/>
      <c r="V27" s="144">
        <f t="shared" si="7"/>
        <v>0</v>
      </c>
      <c r="W27" s="144">
        <f t="shared" si="8"/>
        <v>0</v>
      </c>
      <c r="X27" s="144">
        <f t="shared" si="9"/>
        <v>0</v>
      </c>
      <c r="Y27" s="144">
        <f t="shared" si="10"/>
        <v>31.779800000000002</v>
      </c>
      <c r="Z27" s="169">
        <f t="shared" si="1"/>
        <v>0</v>
      </c>
      <c r="AA27" s="274">
        <f t="shared" si="2"/>
        <v>0</v>
      </c>
      <c r="AB27" s="169">
        <f t="shared" si="11"/>
        <v>0</v>
      </c>
      <c r="AC27" s="274">
        <f t="shared" si="3"/>
        <v>0</v>
      </c>
      <c r="AD27" s="169">
        <f t="shared" si="4"/>
        <v>0</v>
      </c>
      <c r="AE27" s="274">
        <f t="shared" si="5"/>
        <v>0</v>
      </c>
      <c r="AF27" s="169">
        <f t="shared" si="12"/>
        <v>0</v>
      </c>
      <c r="AG27" s="274">
        <f t="shared" si="6"/>
        <v>0</v>
      </c>
      <c r="AH27" s="169">
        <f t="shared" si="13"/>
        <v>0</v>
      </c>
      <c r="AI27" s="169"/>
      <c r="AJ27" s="169">
        <f t="shared" si="14"/>
        <v>0</v>
      </c>
      <c r="AK27" s="169">
        <f t="shared" si="15"/>
        <v>0</v>
      </c>
      <c r="AL27" s="169"/>
      <c r="AM27" s="169"/>
      <c r="AN27" s="169"/>
      <c r="AQ27" s="169"/>
      <c r="AW27" s="144">
        <f t="shared" si="16"/>
        <v>0</v>
      </c>
    </row>
    <row r="28" spans="1:49" ht="9.75" thickBot="1">
      <c r="A28" s="175"/>
      <c r="B28" s="176"/>
      <c r="C28" s="176"/>
      <c r="D28" s="170" t="str">
        <f t="shared" si="0"/>
        <v xml:space="preserve"> </v>
      </c>
      <c r="E28" s="178"/>
      <c r="F28" s="288">
        <v>0</v>
      </c>
      <c r="G28" s="178">
        <v>37</v>
      </c>
      <c r="H28" s="178">
        <v>37</v>
      </c>
      <c r="I28" s="178"/>
      <c r="J28" s="180"/>
      <c r="K28" s="178"/>
      <c r="L28" s="180"/>
      <c r="M28" s="180"/>
      <c r="N28" s="178"/>
      <c r="O28" s="178"/>
      <c r="P28" s="178"/>
      <c r="Q28" s="171">
        <f>AS28</f>
        <v>0</v>
      </c>
      <c r="R28" s="171">
        <f>AT28</f>
        <v>0</v>
      </c>
      <c r="S28" s="172">
        <f>AU28</f>
        <v>0</v>
      </c>
      <c r="U28" s="144">
        <f>IF(OR(C27=5,C28=5),0,1)</f>
        <v>1</v>
      </c>
      <c r="V28" s="144">
        <f t="shared" si="7"/>
        <v>0</v>
      </c>
      <c r="W28" s="144">
        <f t="shared" si="8"/>
        <v>0</v>
      </c>
      <c r="X28" s="144">
        <f t="shared" si="9"/>
        <v>0</v>
      </c>
      <c r="Y28" s="144">
        <f t="shared" si="10"/>
        <v>31.779800000000002</v>
      </c>
      <c r="Z28" s="169">
        <f t="shared" si="1"/>
        <v>0</v>
      </c>
      <c r="AA28" s="274">
        <f t="shared" si="2"/>
        <v>0</v>
      </c>
      <c r="AB28" s="169">
        <f t="shared" si="11"/>
        <v>0</v>
      </c>
      <c r="AC28" s="274">
        <f t="shared" si="3"/>
        <v>0</v>
      </c>
      <c r="AD28" s="169">
        <f t="shared" si="4"/>
        <v>0</v>
      </c>
      <c r="AE28" s="274">
        <f t="shared" si="5"/>
        <v>0</v>
      </c>
      <c r="AF28" s="169">
        <f t="shared" si="12"/>
        <v>0</v>
      </c>
      <c r="AG28" s="274">
        <f t="shared" si="6"/>
        <v>0</v>
      </c>
      <c r="AH28" s="169">
        <f t="shared" si="13"/>
        <v>0</v>
      </c>
      <c r="AI28" s="169"/>
      <c r="AJ28" s="169">
        <f t="shared" si="14"/>
        <v>0</v>
      </c>
      <c r="AK28" s="169">
        <f t="shared" si="15"/>
        <v>0</v>
      </c>
      <c r="AL28" s="169"/>
      <c r="AM28" s="169">
        <f>AK27*W27+AK28*W28</f>
        <v>0</v>
      </c>
      <c r="AN28" s="169">
        <f>(SUM(AD27:AG27)*W27+SUM(AD28:AG28)*W28)*12*VLOOKUP(C28,JNovergang,3,1)</f>
        <v>0</v>
      </c>
      <c r="AO28" s="169">
        <f>AM28-AN28</f>
        <v>0</v>
      </c>
      <c r="AP28" s="169">
        <f>M28*(100+X28)%</f>
        <v>0</v>
      </c>
      <c r="AQ28" s="274">
        <f>ROUND(M28*F28,2)</f>
        <v>0</v>
      </c>
      <c r="AS28" s="274">
        <f>ROUND((AP28+AQ28)+AM28*(N28/12),0)</f>
        <v>0</v>
      </c>
      <c r="AT28" s="274">
        <f>ROUND(AM28*(O28/12),0)</f>
        <v>0</v>
      </c>
      <c r="AU28" s="274">
        <f>ROUND(AM28*(P28/12)*U28,0)</f>
        <v>0</v>
      </c>
      <c r="AW28" s="144">
        <f t="shared" si="16"/>
        <v>0</v>
      </c>
    </row>
    <row r="29" spans="1:49">
      <c r="A29" s="173"/>
      <c r="B29" s="174"/>
      <c r="C29" s="174"/>
      <c r="D29" s="165" t="str">
        <f t="shared" si="0"/>
        <v xml:space="preserve"> </v>
      </c>
      <c r="E29" s="177"/>
      <c r="F29" s="287">
        <v>0</v>
      </c>
      <c r="G29" s="177">
        <v>37</v>
      </c>
      <c r="H29" s="177">
        <v>37</v>
      </c>
      <c r="I29" s="177"/>
      <c r="J29" s="179"/>
      <c r="K29" s="177"/>
      <c r="L29" s="179"/>
      <c r="M29" s="166"/>
      <c r="N29" s="166"/>
      <c r="O29" s="166"/>
      <c r="P29" s="166"/>
      <c r="Q29" s="167"/>
      <c r="R29" s="167"/>
      <c r="S29" s="168"/>
      <c r="V29" s="144">
        <f t="shared" si="7"/>
        <v>0</v>
      </c>
      <c r="W29" s="144">
        <f t="shared" si="8"/>
        <v>0</v>
      </c>
      <c r="X29" s="144">
        <f t="shared" si="9"/>
        <v>0</v>
      </c>
      <c r="Y29" s="144">
        <f t="shared" si="10"/>
        <v>31.779800000000002</v>
      </c>
      <c r="Z29" s="169">
        <f t="shared" si="1"/>
        <v>0</v>
      </c>
      <c r="AA29" s="274">
        <f t="shared" si="2"/>
        <v>0</v>
      </c>
      <c r="AB29" s="169">
        <f t="shared" si="11"/>
        <v>0</v>
      </c>
      <c r="AC29" s="274">
        <f t="shared" si="3"/>
        <v>0</v>
      </c>
      <c r="AD29" s="169">
        <f t="shared" si="4"/>
        <v>0</v>
      </c>
      <c r="AE29" s="274">
        <f t="shared" si="5"/>
        <v>0</v>
      </c>
      <c r="AF29" s="169">
        <f t="shared" si="12"/>
        <v>0</v>
      </c>
      <c r="AG29" s="274">
        <f t="shared" si="6"/>
        <v>0</v>
      </c>
      <c r="AH29" s="169">
        <f t="shared" si="13"/>
        <v>0</v>
      </c>
      <c r="AI29" s="169"/>
      <c r="AJ29" s="169">
        <f t="shared" si="14"/>
        <v>0</v>
      </c>
      <c r="AK29" s="169">
        <f t="shared" si="15"/>
        <v>0</v>
      </c>
      <c r="AL29" s="169"/>
      <c r="AM29" s="169"/>
      <c r="AN29" s="169"/>
      <c r="AQ29" s="169"/>
      <c r="AW29" s="144">
        <f t="shared" si="16"/>
        <v>0</v>
      </c>
    </row>
    <row r="30" spans="1:49" ht="9.75" thickBot="1">
      <c r="A30" s="175"/>
      <c r="B30" s="176"/>
      <c r="C30" s="176"/>
      <c r="D30" s="170" t="str">
        <f t="shared" si="0"/>
        <v xml:space="preserve"> </v>
      </c>
      <c r="E30" s="178"/>
      <c r="F30" s="288">
        <v>0</v>
      </c>
      <c r="G30" s="178">
        <v>37</v>
      </c>
      <c r="H30" s="178">
        <v>37</v>
      </c>
      <c r="I30" s="178"/>
      <c r="J30" s="180"/>
      <c r="K30" s="178"/>
      <c r="L30" s="180"/>
      <c r="M30" s="180"/>
      <c r="N30" s="178"/>
      <c r="O30" s="178"/>
      <c r="P30" s="178"/>
      <c r="Q30" s="171">
        <f>AS30</f>
        <v>0</v>
      </c>
      <c r="R30" s="171">
        <f>AT30</f>
        <v>0</v>
      </c>
      <c r="S30" s="172">
        <f>AU30</f>
        <v>0</v>
      </c>
      <c r="U30" s="144">
        <f>IF(OR(C29=5,C30=5),0,1)</f>
        <v>1</v>
      </c>
      <c r="V30" s="144">
        <f t="shared" si="7"/>
        <v>0</v>
      </c>
      <c r="W30" s="144">
        <f t="shared" si="8"/>
        <v>0</v>
      </c>
      <c r="X30" s="144">
        <f t="shared" si="9"/>
        <v>0</v>
      </c>
      <c r="Y30" s="144">
        <f t="shared" si="10"/>
        <v>31.779800000000002</v>
      </c>
      <c r="Z30" s="169">
        <f t="shared" si="1"/>
        <v>0</v>
      </c>
      <c r="AA30" s="274">
        <f t="shared" si="2"/>
        <v>0</v>
      </c>
      <c r="AB30" s="169">
        <f t="shared" si="11"/>
        <v>0</v>
      </c>
      <c r="AC30" s="274">
        <f t="shared" si="3"/>
        <v>0</v>
      </c>
      <c r="AD30" s="169">
        <f t="shared" si="4"/>
        <v>0</v>
      </c>
      <c r="AE30" s="274">
        <f t="shared" si="5"/>
        <v>0</v>
      </c>
      <c r="AF30" s="169">
        <f t="shared" si="12"/>
        <v>0</v>
      </c>
      <c r="AG30" s="274">
        <f t="shared" si="6"/>
        <v>0</v>
      </c>
      <c r="AH30" s="169">
        <f t="shared" si="13"/>
        <v>0</v>
      </c>
      <c r="AI30" s="169"/>
      <c r="AJ30" s="169">
        <f t="shared" si="14"/>
        <v>0</v>
      </c>
      <c r="AK30" s="169">
        <f t="shared" si="15"/>
        <v>0</v>
      </c>
      <c r="AL30" s="169"/>
      <c r="AM30" s="169">
        <f>AK29*W29+AK30*W30</f>
        <v>0</v>
      </c>
      <c r="AN30" s="169">
        <f>(SUM(AD29:AG29)*W29+SUM(AD30:AG30)*W30)*12*VLOOKUP(C30,JNovergang,3,1)</f>
        <v>0</v>
      </c>
      <c r="AO30" s="169">
        <f>AM30-AN30</f>
        <v>0</v>
      </c>
      <c r="AP30" s="169">
        <f>M30*(100+X30)%</f>
        <v>0</v>
      </c>
      <c r="AQ30" s="274">
        <f>ROUND(M30*F30,2)</f>
        <v>0</v>
      </c>
      <c r="AS30" s="274">
        <f>ROUND((AP30+AQ30)+AM30*(N30/12),0)</f>
        <v>0</v>
      </c>
      <c r="AT30" s="274">
        <f>ROUND(AM30*(O30/12),0)</f>
        <v>0</v>
      </c>
      <c r="AU30" s="274">
        <f>ROUND(AM30*(P30/12)*U30,0)</f>
        <v>0</v>
      </c>
      <c r="AW30" s="144">
        <f t="shared" si="16"/>
        <v>0</v>
      </c>
    </row>
    <row r="31" spans="1:49">
      <c r="A31" s="173"/>
      <c r="B31" s="174"/>
      <c r="C31" s="174"/>
      <c r="D31" s="165" t="str">
        <f t="shared" si="0"/>
        <v xml:space="preserve"> </v>
      </c>
      <c r="E31" s="177"/>
      <c r="F31" s="287">
        <v>0</v>
      </c>
      <c r="G31" s="177">
        <v>37</v>
      </c>
      <c r="H31" s="177">
        <v>37</v>
      </c>
      <c r="I31" s="177"/>
      <c r="J31" s="179"/>
      <c r="K31" s="177"/>
      <c r="L31" s="179"/>
      <c r="M31" s="166"/>
      <c r="N31" s="166"/>
      <c r="O31" s="166"/>
      <c r="P31" s="166"/>
      <c r="Q31" s="167"/>
      <c r="R31" s="167"/>
      <c r="S31" s="168"/>
      <c r="V31" s="144">
        <f t="shared" si="7"/>
        <v>0</v>
      </c>
      <c r="W31" s="144">
        <f t="shared" si="8"/>
        <v>0</v>
      </c>
      <c r="X31" s="144">
        <f t="shared" si="9"/>
        <v>0</v>
      </c>
      <c r="Y31" s="144">
        <f t="shared" si="10"/>
        <v>31.779800000000002</v>
      </c>
      <c r="Z31" s="169">
        <f t="shared" si="1"/>
        <v>0</v>
      </c>
      <c r="AA31" s="274">
        <f t="shared" si="2"/>
        <v>0</v>
      </c>
      <c r="AB31" s="169">
        <f t="shared" si="11"/>
        <v>0</v>
      </c>
      <c r="AC31" s="274">
        <f t="shared" si="3"/>
        <v>0</v>
      </c>
      <c r="AD31" s="169">
        <f t="shared" si="4"/>
        <v>0</v>
      </c>
      <c r="AE31" s="274">
        <f t="shared" si="5"/>
        <v>0</v>
      </c>
      <c r="AF31" s="169">
        <f t="shared" si="12"/>
        <v>0</v>
      </c>
      <c r="AG31" s="274">
        <f t="shared" si="6"/>
        <v>0</v>
      </c>
      <c r="AH31" s="169">
        <f t="shared" si="13"/>
        <v>0</v>
      </c>
      <c r="AI31" s="169"/>
      <c r="AJ31" s="169">
        <f t="shared" si="14"/>
        <v>0</v>
      </c>
      <c r="AK31" s="169">
        <f t="shared" si="15"/>
        <v>0</v>
      </c>
      <c r="AL31" s="169"/>
      <c r="AM31" s="169"/>
      <c r="AN31" s="169"/>
      <c r="AQ31" s="169"/>
      <c r="AW31" s="144">
        <f t="shared" si="16"/>
        <v>0</v>
      </c>
    </row>
    <row r="32" spans="1:49" ht="9.75" thickBot="1">
      <c r="A32" s="175"/>
      <c r="B32" s="176"/>
      <c r="C32" s="176"/>
      <c r="D32" s="170" t="str">
        <f t="shared" si="0"/>
        <v xml:space="preserve"> </v>
      </c>
      <c r="E32" s="178"/>
      <c r="F32" s="288">
        <v>0</v>
      </c>
      <c r="G32" s="178">
        <v>37</v>
      </c>
      <c r="H32" s="178">
        <v>37</v>
      </c>
      <c r="I32" s="178"/>
      <c r="J32" s="180"/>
      <c r="K32" s="178"/>
      <c r="L32" s="180"/>
      <c r="M32" s="180"/>
      <c r="N32" s="178"/>
      <c r="O32" s="178"/>
      <c r="P32" s="178"/>
      <c r="Q32" s="171">
        <f>AS32</f>
        <v>0</v>
      </c>
      <c r="R32" s="171">
        <f>AT32</f>
        <v>0</v>
      </c>
      <c r="S32" s="172">
        <f>AU32</f>
        <v>0</v>
      </c>
      <c r="U32" s="144">
        <f>IF(OR(C31=5,C32=5),0,1)</f>
        <v>1</v>
      </c>
      <c r="V32" s="144">
        <f t="shared" si="7"/>
        <v>0</v>
      </c>
      <c r="W32" s="144">
        <f t="shared" si="8"/>
        <v>0</v>
      </c>
      <c r="X32" s="144">
        <f t="shared" si="9"/>
        <v>0</v>
      </c>
      <c r="Y32" s="144">
        <f t="shared" si="10"/>
        <v>31.779800000000002</v>
      </c>
      <c r="Z32" s="169">
        <f t="shared" si="1"/>
        <v>0</v>
      </c>
      <c r="AA32" s="274">
        <f t="shared" si="2"/>
        <v>0</v>
      </c>
      <c r="AB32" s="169">
        <f t="shared" si="11"/>
        <v>0</v>
      </c>
      <c r="AC32" s="274">
        <f t="shared" si="3"/>
        <v>0</v>
      </c>
      <c r="AD32" s="169">
        <f t="shared" si="4"/>
        <v>0</v>
      </c>
      <c r="AE32" s="274">
        <f t="shared" si="5"/>
        <v>0</v>
      </c>
      <c r="AF32" s="169">
        <f t="shared" si="12"/>
        <v>0</v>
      </c>
      <c r="AG32" s="274">
        <f t="shared" si="6"/>
        <v>0</v>
      </c>
      <c r="AH32" s="169">
        <f t="shared" si="13"/>
        <v>0</v>
      </c>
      <c r="AI32" s="169"/>
      <c r="AJ32" s="169">
        <f t="shared" si="14"/>
        <v>0</v>
      </c>
      <c r="AK32" s="169">
        <f t="shared" si="15"/>
        <v>0</v>
      </c>
      <c r="AL32" s="169"/>
      <c r="AM32" s="169">
        <f>AK31*W31+AK32*W32</f>
        <v>0</v>
      </c>
      <c r="AN32" s="169">
        <f>(SUM(AD31:AG31)*W31+SUM(AD32:AG32)*W32)*12*VLOOKUP(C32,JNovergang,3,1)</f>
        <v>0</v>
      </c>
      <c r="AO32" s="169">
        <f>AM32-AN32</f>
        <v>0</v>
      </c>
      <c r="AP32" s="169">
        <f>M32*(100+X32)%</f>
        <v>0</v>
      </c>
      <c r="AQ32" s="274">
        <f>ROUND(M32*F32,2)</f>
        <v>0</v>
      </c>
      <c r="AS32" s="274">
        <f>ROUND((AP32+AQ32)+AM32*(N32/12),0)</f>
        <v>0</v>
      </c>
      <c r="AT32" s="274">
        <f>ROUND(AM32*(O32/12),0)</f>
        <v>0</v>
      </c>
      <c r="AU32" s="274">
        <f>ROUND(AM32*(P32/12)*U32,0)</f>
        <v>0</v>
      </c>
      <c r="AW32" s="144">
        <f t="shared" si="16"/>
        <v>0</v>
      </c>
    </row>
    <row r="33" spans="1:49">
      <c r="A33" s="173"/>
      <c r="B33" s="174"/>
      <c r="C33" s="174"/>
      <c r="D33" s="165" t="str">
        <f t="shared" si="0"/>
        <v xml:space="preserve"> </v>
      </c>
      <c r="E33" s="177"/>
      <c r="F33" s="287">
        <v>0</v>
      </c>
      <c r="G33" s="177">
        <v>37</v>
      </c>
      <c r="H33" s="177">
        <v>37</v>
      </c>
      <c r="I33" s="177"/>
      <c r="J33" s="179"/>
      <c r="K33" s="177"/>
      <c r="L33" s="179"/>
      <c r="M33" s="166"/>
      <c r="N33" s="166"/>
      <c r="O33" s="166"/>
      <c r="P33" s="166"/>
      <c r="Q33" s="167"/>
      <c r="R33" s="167"/>
      <c r="S33" s="168"/>
      <c r="V33" s="144">
        <f t="shared" si="7"/>
        <v>0</v>
      </c>
      <c r="W33" s="144">
        <f t="shared" si="8"/>
        <v>0</v>
      </c>
      <c r="X33" s="144">
        <f t="shared" si="9"/>
        <v>0</v>
      </c>
      <c r="Y33" s="144">
        <f t="shared" si="10"/>
        <v>31.779800000000002</v>
      </c>
      <c r="Z33" s="169">
        <f t="shared" si="1"/>
        <v>0</v>
      </c>
      <c r="AA33" s="274">
        <f t="shared" si="2"/>
        <v>0</v>
      </c>
      <c r="AB33" s="169">
        <f t="shared" si="11"/>
        <v>0</v>
      </c>
      <c r="AC33" s="274">
        <f t="shared" si="3"/>
        <v>0</v>
      </c>
      <c r="AD33" s="169">
        <f t="shared" si="4"/>
        <v>0</v>
      </c>
      <c r="AE33" s="274">
        <f t="shared" si="5"/>
        <v>0</v>
      </c>
      <c r="AF33" s="169">
        <f t="shared" si="12"/>
        <v>0</v>
      </c>
      <c r="AG33" s="274">
        <f t="shared" si="6"/>
        <v>0</v>
      </c>
      <c r="AH33" s="169">
        <f t="shared" si="13"/>
        <v>0</v>
      </c>
      <c r="AI33" s="169"/>
      <c r="AJ33" s="169">
        <f t="shared" si="14"/>
        <v>0</v>
      </c>
      <c r="AK33" s="169">
        <f t="shared" si="15"/>
        <v>0</v>
      </c>
      <c r="AL33" s="169"/>
      <c r="AM33" s="169"/>
      <c r="AN33" s="169"/>
      <c r="AQ33" s="169"/>
      <c r="AW33" s="144">
        <f t="shared" si="16"/>
        <v>0</v>
      </c>
    </row>
    <row r="34" spans="1:49" ht="9.75" thickBot="1">
      <c r="A34" s="175"/>
      <c r="B34" s="176"/>
      <c r="C34" s="176"/>
      <c r="D34" s="170" t="str">
        <f t="shared" si="0"/>
        <v xml:space="preserve"> </v>
      </c>
      <c r="E34" s="178"/>
      <c r="F34" s="288">
        <v>0</v>
      </c>
      <c r="G34" s="178">
        <v>37</v>
      </c>
      <c r="H34" s="178">
        <v>37</v>
      </c>
      <c r="I34" s="178"/>
      <c r="J34" s="180"/>
      <c r="K34" s="178"/>
      <c r="L34" s="180"/>
      <c r="M34" s="180"/>
      <c r="N34" s="178"/>
      <c r="O34" s="178"/>
      <c r="P34" s="178"/>
      <c r="Q34" s="171">
        <f>AS34</f>
        <v>0</v>
      </c>
      <c r="R34" s="171">
        <f>AT34</f>
        <v>0</v>
      </c>
      <c r="S34" s="172">
        <f>AU34</f>
        <v>0</v>
      </c>
      <c r="U34" s="144">
        <f>IF(OR(C33=5,C34=5),0,1)</f>
        <v>1</v>
      </c>
      <c r="V34" s="144">
        <f t="shared" si="7"/>
        <v>0</v>
      </c>
      <c r="W34" s="144">
        <f t="shared" si="8"/>
        <v>0</v>
      </c>
      <c r="X34" s="144">
        <f t="shared" si="9"/>
        <v>0</v>
      </c>
      <c r="Y34" s="144">
        <f t="shared" si="10"/>
        <v>31.779800000000002</v>
      </c>
      <c r="Z34" s="169">
        <f t="shared" si="1"/>
        <v>0</v>
      </c>
      <c r="AA34" s="274">
        <f t="shared" si="2"/>
        <v>0</v>
      </c>
      <c r="AB34" s="169">
        <f t="shared" si="11"/>
        <v>0</v>
      </c>
      <c r="AC34" s="274">
        <f t="shared" si="3"/>
        <v>0</v>
      </c>
      <c r="AD34" s="169">
        <f t="shared" si="4"/>
        <v>0</v>
      </c>
      <c r="AE34" s="274">
        <f t="shared" si="5"/>
        <v>0</v>
      </c>
      <c r="AF34" s="169">
        <f t="shared" si="12"/>
        <v>0</v>
      </c>
      <c r="AG34" s="274">
        <f t="shared" si="6"/>
        <v>0</v>
      </c>
      <c r="AH34" s="169">
        <f t="shared" si="13"/>
        <v>0</v>
      </c>
      <c r="AI34" s="169"/>
      <c r="AJ34" s="169">
        <f t="shared" si="14"/>
        <v>0</v>
      </c>
      <c r="AK34" s="169">
        <f t="shared" si="15"/>
        <v>0</v>
      </c>
      <c r="AL34" s="169"/>
      <c r="AM34" s="169">
        <f>AK33*W33+AK34*W34</f>
        <v>0</v>
      </c>
      <c r="AN34" s="169">
        <f>(SUM(AD33:AG33)*W33+SUM(AD34:AG34)*W34)*12*VLOOKUP(C34,JNovergang,3,1)</f>
        <v>0</v>
      </c>
      <c r="AO34" s="169">
        <f>AM34-AN34</f>
        <v>0</v>
      </c>
      <c r="AP34" s="169">
        <f>M34*(100+X34)%</f>
        <v>0</v>
      </c>
      <c r="AQ34" s="274">
        <f>ROUND(M34*F34,2)</f>
        <v>0</v>
      </c>
      <c r="AS34" s="274">
        <f>ROUND((AP34+AQ34)+AM34*(N34/12),0)</f>
        <v>0</v>
      </c>
      <c r="AT34" s="274">
        <f>ROUND(AM34*(O34/12),0)</f>
        <v>0</v>
      </c>
      <c r="AU34" s="274">
        <f>ROUND(AM34*(P34/12)*U34,0)</f>
        <v>0</v>
      </c>
      <c r="AW34" s="144">
        <f t="shared" si="16"/>
        <v>0</v>
      </c>
    </row>
    <row r="35" spans="1:49">
      <c r="A35" s="173"/>
      <c r="B35" s="174"/>
      <c r="C35" s="174"/>
      <c r="D35" s="165" t="str">
        <f t="shared" si="0"/>
        <v xml:space="preserve"> </v>
      </c>
      <c r="E35" s="177"/>
      <c r="F35" s="287">
        <v>0</v>
      </c>
      <c r="G35" s="177">
        <v>37</v>
      </c>
      <c r="H35" s="177">
        <v>37</v>
      </c>
      <c r="I35" s="177"/>
      <c r="J35" s="179"/>
      <c r="K35" s="177"/>
      <c r="L35" s="179"/>
      <c r="M35" s="166"/>
      <c r="N35" s="166"/>
      <c r="O35" s="166"/>
      <c r="P35" s="166"/>
      <c r="Q35" s="167"/>
      <c r="R35" s="167"/>
      <c r="S35" s="168"/>
      <c r="V35" s="144">
        <f t="shared" si="7"/>
        <v>0</v>
      </c>
      <c r="W35" s="144">
        <f t="shared" si="8"/>
        <v>0</v>
      </c>
      <c r="X35" s="144">
        <f t="shared" si="9"/>
        <v>0</v>
      </c>
      <c r="Y35" s="144">
        <f t="shared" si="10"/>
        <v>31.779800000000002</v>
      </c>
      <c r="Z35" s="169">
        <f t="shared" si="1"/>
        <v>0</v>
      </c>
      <c r="AA35" s="274">
        <f t="shared" si="2"/>
        <v>0</v>
      </c>
      <c r="AB35" s="169">
        <f t="shared" si="11"/>
        <v>0</v>
      </c>
      <c r="AC35" s="274">
        <f t="shared" si="3"/>
        <v>0</v>
      </c>
      <c r="AD35" s="169">
        <f t="shared" si="4"/>
        <v>0</v>
      </c>
      <c r="AE35" s="274">
        <f t="shared" si="5"/>
        <v>0</v>
      </c>
      <c r="AF35" s="169">
        <f t="shared" si="12"/>
        <v>0</v>
      </c>
      <c r="AG35" s="274">
        <f t="shared" si="6"/>
        <v>0</v>
      </c>
      <c r="AH35" s="169">
        <f t="shared" si="13"/>
        <v>0</v>
      </c>
      <c r="AI35" s="169"/>
      <c r="AJ35" s="169">
        <f t="shared" si="14"/>
        <v>0</v>
      </c>
      <c r="AK35" s="169">
        <f t="shared" si="15"/>
        <v>0</v>
      </c>
      <c r="AL35" s="169"/>
      <c r="AM35" s="169"/>
      <c r="AN35" s="169"/>
      <c r="AQ35" s="169"/>
      <c r="AW35" s="144">
        <f t="shared" si="16"/>
        <v>0</v>
      </c>
    </row>
    <row r="36" spans="1:49" ht="9.75" thickBot="1">
      <c r="A36" s="175"/>
      <c r="B36" s="176"/>
      <c r="C36" s="176"/>
      <c r="D36" s="170" t="str">
        <f t="shared" si="0"/>
        <v xml:space="preserve"> </v>
      </c>
      <c r="E36" s="178"/>
      <c r="F36" s="288">
        <v>0</v>
      </c>
      <c r="G36" s="178">
        <v>37</v>
      </c>
      <c r="H36" s="178">
        <v>37</v>
      </c>
      <c r="I36" s="178"/>
      <c r="J36" s="180"/>
      <c r="K36" s="178"/>
      <c r="L36" s="180"/>
      <c r="M36" s="180"/>
      <c r="N36" s="178"/>
      <c r="O36" s="178"/>
      <c r="P36" s="178"/>
      <c r="Q36" s="171">
        <f>AS36</f>
        <v>0</v>
      </c>
      <c r="R36" s="171">
        <f>AT36</f>
        <v>0</v>
      </c>
      <c r="S36" s="172">
        <f>AU36</f>
        <v>0</v>
      </c>
      <c r="U36" s="144">
        <f>IF(OR(C35=5,C36=5),0,1)</f>
        <v>1</v>
      </c>
      <c r="V36" s="144">
        <f t="shared" si="7"/>
        <v>0</v>
      </c>
      <c r="W36" s="144">
        <f t="shared" si="8"/>
        <v>0</v>
      </c>
      <c r="X36" s="144">
        <f t="shared" si="9"/>
        <v>0</v>
      </c>
      <c r="Y36" s="144">
        <f t="shared" si="10"/>
        <v>31.779800000000002</v>
      </c>
      <c r="Z36" s="169">
        <f t="shared" si="1"/>
        <v>0</v>
      </c>
      <c r="AA36" s="274">
        <f t="shared" si="2"/>
        <v>0</v>
      </c>
      <c r="AB36" s="169">
        <f t="shared" si="11"/>
        <v>0</v>
      </c>
      <c r="AC36" s="274">
        <f t="shared" si="3"/>
        <v>0</v>
      </c>
      <c r="AD36" s="169">
        <f t="shared" si="4"/>
        <v>0</v>
      </c>
      <c r="AE36" s="274">
        <f t="shared" si="5"/>
        <v>0</v>
      </c>
      <c r="AF36" s="169">
        <f t="shared" si="12"/>
        <v>0</v>
      </c>
      <c r="AG36" s="274">
        <f t="shared" si="6"/>
        <v>0</v>
      </c>
      <c r="AH36" s="169">
        <f t="shared" si="13"/>
        <v>0</v>
      </c>
      <c r="AI36" s="169"/>
      <c r="AJ36" s="169">
        <f t="shared" si="14"/>
        <v>0</v>
      </c>
      <c r="AK36" s="169">
        <f t="shared" si="15"/>
        <v>0</v>
      </c>
      <c r="AL36" s="169"/>
      <c r="AM36" s="169">
        <f>AK35*W35+AK36*W36</f>
        <v>0</v>
      </c>
      <c r="AN36" s="169">
        <f>(SUM(AD35:AG35)*W35+SUM(AD36:AG36)*W36)*12*VLOOKUP(C36,JNovergang,3,1)</f>
        <v>0</v>
      </c>
      <c r="AO36" s="169">
        <f>AM36-AN36</f>
        <v>0</v>
      </c>
      <c r="AP36" s="169">
        <f>M36*(100+X36)%</f>
        <v>0</v>
      </c>
      <c r="AQ36" s="274">
        <f>ROUND(M36*F36,2)</f>
        <v>0</v>
      </c>
      <c r="AS36" s="274">
        <f>ROUND((AP36+AQ36)+AM36*(N36/12),0)</f>
        <v>0</v>
      </c>
      <c r="AT36" s="274">
        <f>ROUND(AM36*(O36/12),0)</f>
        <v>0</v>
      </c>
      <c r="AU36" s="274">
        <f>ROUND(AM36*(P36/12)*U36,0)</f>
        <v>0</v>
      </c>
      <c r="AW36" s="144">
        <f t="shared" si="16"/>
        <v>0</v>
      </c>
    </row>
    <row r="37" spans="1:49">
      <c r="A37" s="173"/>
      <c r="B37" s="174"/>
      <c r="C37" s="174"/>
      <c r="D37" s="165" t="str">
        <f t="shared" si="0"/>
        <v xml:space="preserve"> </v>
      </c>
      <c r="E37" s="177"/>
      <c r="F37" s="287">
        <v>0</v>
      </c>
      <c r="G37" s="177">
        <v>37</v>
      </c>
      <c r="H37" s="177">
        <v>37</v>
      </c>
      <c r="I37" s="177"/>
      <c r="J37" s="179"/>
      <c r="K37" s="177"/>
      <c r="L37" s="179"/>
      <c r="M37" s="166"/>
      <c r="N37" s="166"/>
      <c r="O37" s="166"/>
      <c r="P37" s="166"/>
      <c r="Q37" s="167"/>
      <c r="R37" s="167"/>
      <c r="S37" s="168"/>
      <c r="V37" s="144">
        <f t="shared" si="7"/>
        <v>0</v>
      </c>
      <c r="W37" s="144">
        <f t="shared" si="8"/>
        <v>0</v>
      </c>
      <c r="X37" s="144">
        <f t="shared" si="9"/>
        <v>0</v>
      </c>
      <c r="Y37" s="144">
        <f t="shared" si="10"/>
        <v>31.779800000000002</v>
      </c>
      <c r="Z37" s="169">
        <f t="shared" si="1"/>
        <v>0</v>
      </c>
      <c r="AA37" s="274">
        <f t="shared" si="2"/>
        <v>0</v>
      </c>
      <c r="AB37" s="169">
        <f t="shared" si="11"/>
        <v>0</v>
      </c>
      <c r="AC37" s="274">
        <f t="shared" si="3"/>
        <v>0</v>
      </c>
      <c r="AD37" s="169">
        <f t="shared" si="4"/>
        <v>0</v>
      </c>
      <c r="AE37" s="274">
        <f t="shared" si="5"/>
        <v>0</v>
      </c>
      <c r="AF37" s="169">
        <f t="shared" si="12"/>
        <v>0</v>
      </c>
      <c r="AG37" s="274">
        <f t="shared" si="6"/>
        <v>0</v>
      </c>
      <c r="AH37" s="169">
        <f t="shared" si="13"/>
        <v>0</v>
      </c>
      <c r="AI37" s="169"/>
      <c r="AJ37" s="169">
        <f t="shared" si="14"/>
        <v>0</v>
      </c>
      <c r="AK37" s="169">
        <f t="shared" si="15"/>
        <v>0</v>
      </c>
      <c r="AL37" s="169"/>
      <c r="AM37" s="169"/>
      <c r="AN37" s="169"/>
      <c r="AQ37" s="169"/>
      <c r="AW37" s="144">
        <f t="shared" si="16"/>
        <v>0</v>
      </c>
    </row>
    <row r="38" spans="1:49" ht="9.75" thickBot="1">
      <c r="A38" s="175"/>
      <c r="B38" s="176"/>
      <c r="C38" s="176"/>
      <c r="D38" s="170" t="str">
        <f t="shared" si="0"/>
        <v xml:space="preserve"> </v>
      </c>
      <c r="E38" s="178"/>
      <c r="F38" s="288">
        <v>0</v>
      </c>
      <c r="G38" s="178">
        <v>37</v>
      </c>
      <c r="H38" s="178">
        <v>37</v>
      </c>
      <c r="I38" s="178"/>
      <c r="J38" s="180"/>
      <c r="K38" s="178"/>
      <c r="L38" s="180"/>
      <c r="M38" s="180"/>
      <c r="N38" s="178"/>
      <c r="O38" s="178"/>
      <c r="P38" s="178"/>
      <c r="Q38" s="171">
        <f>AS38</f>
        <v>0</v>
      </c>
      <c r="R38" s="171">
        <f>AT38</f>
        <v>0</v>
      </c>
      <c r="S38" s="172">
        <f>AU38</f>
        <v>0</v>
      </c>
      <c r="U38" s="144">
        <f>IF(OR(C37=5,C38=5),0,1)</f>
        <v>1</v>
      </c>
      <c r="V38" s="144">
        <f t="shared" si="7"/>
        <v>0</v>
      </c>
      <c r="W38" s="144">
        <f t="shared" si="8"/>
        <v>0</v>
      </c>
      <c r="X38" s="144">
        <f t="shared" si="9"/>
        <v>0</v>
      </c>
      <c r="Y38" s="144">
        <f t="shared" si="10"/>
        <v>31.779800000000002</v>
      </c>
      <c r="Z38" s="169">
        <f t="shared" si="1"/>
        <v>0</v>
      </c>
      <c r="AA38" s="274">
        <f t="shared" si="2"/>
        <v>0</v>
      </c>
      <c r="AB38" s="169">
        <f t="shared" si="11"/>
        <v>0</v>
      </c>
      <c r="AC38" s="274">
        <f t="shared" si="3"/>
        <v>0</v>
      </c>
      <c r="AD38" s="169">
        <f t="shared" si="4"/>
        <v>0</v>
      </c>
      <c r="AE38" s="274">
        <f t="shared" si="5"/>
        <v>0</v>
      </c>
      <c r="AF38" s="169">
        <f t="shared" si="12"/>
        <v>0</v>
      </c>
      <c r="AG38" s="274">
        <f t="shared" si="6"/>
        <v>0</v>
      </c>
      <c r="AH38" s="169">
        <f t="shared" si="13"/>
        <v>0</v>
      </c>
      <c r="AI38" s="169"/>
      <c r="AJ38" s="169">
        <f t="shared" si="14"/>
        <v>0</v>
      </c>
      <c r="AK38" s="169">
        <f t="shared" si="15"/>
        <v>0</v>
      </c>
      <c r="AL38" s="169"/>
      <c r="AM38" s="169">
        <f>AK37*W37+AK38*W38</f>
        <v>0</v>
      </c>
      <c r="AN38" s="169">
        <f>(SUM(AD37:AG37)*W37+SUM(AD38:AG38)*W38)*12*VLOOKUP(C38,JNovergang,3,1)</f>
        <v>0</v>
      </c>
      <c r="AO38" s="169">
        <f>AM38-AN38</f>
        <v>0</v>
      </c>
      <c r="AP38" s="169">
        <f>M38*(100+X38)%</f>
        <v>0</v>
      </c>
      <c r="AQ38" s="274">
        <f>ROUND(M38*F38,2)</f>
        <v>0</v>
      </c>
      <c r="AS38" s="274">
        <f>ROUND((AP38+AQ38)+AM38*(N38/12),0)</f>
        <v>0</v>
      </c>
      <c r="AT38" s="274">
        <f>ROUND(AM38*(O38/12),0)</f>
        <v>0</v>
      </c>
      <c r="AU38" s="274">
        <f>ROUND(AM38*(P38/12)*U38,0)</f>
        <v>0</v>
      </c>
      <c r="AW38" s="144">
        <f t="shared" si="16"/>
        <v>0</v>
      </c>
    </row>
    <row r="39" spans="1:49">
      <c r="A39" s="173"/>
      <c r="B39" s="174"/>
      <c r="C39" s="174"/>
      <c r="D39" s="165" t="str">
        <f t="shared" si="0"/>
        <v xml:space="preserve"> </v>
      </c>
      <c r="E39" s="177"/>
      <c r="F39" s="287">
        <v>0</v>
      </c>
      <c r="G39" s="177">
        <v>37</v>
      </c>
      <c r="H39" s="177">
        <v>37</v>
      </c>
      <c r="I39" s="177"/>
      <c r="J39" s="179"/>
      <c r="K39" s="177"/>
      <c r="L39" s="179"/>
      <c r="M39" s="166"/>
      <c r="N39" s="166"/>
      <c r="O39" s="166"/>
      <c r="P39" s="166"/>
      <c r="Q39" s="167"/>
      <c r="R39" s="167"/>
      <c r="S39" s="168"/>
      <c r="V39" s="144">
        <f t="shared" si="7"/>
        <v>0</v>
      </c>
      <c r="W39" s="144">
        <f t="shared" si="8"/>
        <v>0</v>
      </c>
      <c r="X39" s="144">
        <f t="shared" si="9"/>
        <v>0</v>
      </c>
      <c r="Y39" s="144">
        <f t="shared" si="10"/>
        <v>31.779800000000002</v>
      </c>
      <c r="Z39" s="169">
        <f t="shared" si="1"/>
        <v>0</v>
      </c>
      <c r="AA39" s="274">
        <f t="shared" si="2"/>
        <v>0</v>
      </c>
      <c r="AB39" s="169">
        <f t="shared" si="11"/>
        <v>0</v>
      </c>
      <c r="AC39" s="274">
        <f t="shared" si="3"/>
        <v>0</v>
      </c>
      <c r="AD39" s="169">
        <f t="shared" si="4"/>
        <v>0</v>
      </c>
      <c r="AE39" s="274">
        <f t="shared" si="5"/>
        <v>0</v>
      </c>
      <c r="AF39" s="169">
        <f t="shared" si="12"/>
        <v>0</v>
      </c>
      <c r="AG39" s="274">
        <f t="shared" si="6"/>
        <v>0</v>
      </c>
      <c r="AH39" s="169">
        <f t="shared" si="13"/>
        <v>0</v>
      </c>
      <c r="AI39" s="169"/>
      <c r="AJ39" s="169">
        <f t="shared" si="14"/>
        <v>0</v>
      </c>
      <c r="AK39" s="169">
        <f t="shared" si="15"/>
        <v>0</v>
      </c>
      <c r="AL39" s="169"/>
      <c r="AM39" s="169"/>
      <c r="AN39" s="169"/>
      <c r="AQ39" s="169"/>
      <c r="AW39" s="144">
        <f t="shared" si="16"/>
        <v>0</v>
      </c>
    </row>
    <row r="40" spans="1:49" ht="9.75" thickBot="1">
      <c r="A40" s="175"/>
      <c r="B40" s="176"/>
      <c r="C40" s="176"/>
      <c r="D40" s="170" t="str">
        <f t="shared" si="0"/>
        <v xml:space="preserve"> </v>
      </c>
      <c r="E40" s="178"/>
      <c r="F40" s="288">
        <v>0</v>
      </c>
      <c r="G40" s="178">
        <v>37</v>
      </c>
      <c r="H40" s="178">
        <v>37</v>
      </c>
      <c r="I40" s="178"/>
      <c r="J40" s="180"/>
      <c r="K40" s="178"/>
      <c r="L40" s="180"/>
      <c r="M40" s="180"/>
      <c r="N40" s="178"/>
      <c r="O40" s="178"/>
      <c r="P40" s="178"/>
      <c r="Q40" s="171">
        <f>AS40</f>
        <v>0</v>
      </c>
      <c r="R40" s="171">
        <f>AT40</f>
        <v>0</v>
      </c>
      <c r="S40" s="172">
        <f>AU40</f>
        <v>0</v>
      </c>
      <c r="U40" s="144">
        <f>IF(OR(C39=5,C40=5),0,1)</f>
        <v>1</v>
      </c>
      <c r="V40" s="144">
        <f t="shared" si="7"/>
        <v>0</v>
      </c>
      <c r="W40" s="144">
        <f t="shared" si="8"/>
        <v>0</v>
      </c>
      <c r="X40" s="144">
        <f t="shared" si="9"/>
        <v>0</v>
      </c>
      <c r="Y40" s="144">
        <f t="shared" si="10"/>
        <v>31.779800000000002</v>
      </c>
      <c r="Z40" s="169">
        <f t="shared" si="1"/>
        <v>0</v>
      </c>
      <c r="AA40" s="274">
        <f t="shared" si="2"/>
        <v>0</v>
      </c>
      <c r="AB40" s="169">
        <f t="shared" si="11"/>
        <v>0</v>
      </c>
      <c r="AC40" s="274">
        <f t="shared" si="3"/>
        <v>0</v>
      </c>
      <c r="AD40" s="169">
        <f t="shared" si="4"/>
        <v>0</v>
      </c>
      <c r="AE40" s="274">
        <f t="shared" si="5"/>
        <v>0</v>
      </c>
      <c r="AF40" s="169">
        <f t="shared" si="12"/>
        <v>0</v>
      </c>
      <c r="AG40" s="274">
        <f t="shared" si="6"/>
        <v>0</v>
      </c>
      <c r="AH40" s="169">
        <f t="shared" si="13"/>
        <v>0</v>
      </c>
      <c r="AI40" s="169"/>
      <c r="AJ40" s="169">
        <f t="shared" si="14"/>
        <v>0</v>
      </c>
      <c r="AK40" s="169">
        <f t="shared" si="15"/>
        <v>0</v>
      </c>
      <c r="AL40" s="169"/>
      <c r="AM40" s="169">
        <f>AK39*W39+AK40*W40</f>
        <v>0</v>
      </c>
      <c r="AN40" s="169">
        <f>(SUM(AD39:AG39)*W39+SUM(AD40:AG40)*W40)*12*VLOOKUP(C40,JNovergang,3,1)</f>
        <v>0</v>
      </c>
      <c r="AO40" s="169">
        <f>AM40-AN40</f>
        <v>0</v>
      </c>
      <c r="AP40" s="169">
        <f>M40*(100+X40)%</f>
        <v>0</v>
      </c>
      <c r="AQ40" s="274">
        <f>ROUND(M40*F40,2)</f>
        <v>0</v>
      </c>
      <c r="AS40" s="274">
        <f>ROUND((AP40+AQ40)+AM40*(N40/12),0)</f>
        <v>0</v>
      </c>
      <c r="AT40" s="274">
        <f>ROUND(AM40*(O40/12),0)</f>
        <v>0</v>
      </c>
      <c r="AU40" s="274">
        <f>ROUND(AM40*(P40/12)*U40,0)</f>
        <v>0</v>
      </c>
      <c r="AW40" s="144">
        <f t="shared" si="16"/>
        <v>0</v>
      </c>
    </row>
    <row r="41" spans="1:49">
      <c r="A41" s="173"/>
      <c r="B41" s="174"/>
      <c r="C41" s="174"/>
      <c r="D41" s="165" t="str">
        <f t="shared" si="0"/>
        <v xml:space="preserve"> </v>
      </c>
      <c r="E41" s="177"/>
      <c r="F41" s="287">
        <v>0</v>
      </c>
      <c r="G41" s="177">
        <v>37</v>
      </c>
      <c r="H41" s="177">
        <v>37</v>
      </c>
      <c r="I41" s="177"/>
      <c r="J41" s="179"/>
      <c r="K41" s="177"/>
      <c r="L41" s="179"/>
      <c r="M41" s="166"/>
      <c r="N41" s="166"/>
      <c r="O41" s="166"/>
      <c r="P41" s="166"/>
      <c r="Q41" s="167"/>
      <c r="R41" s="167"/>
      <c r="S41" s="168"/>
      <c r="V41" s="144">
        <f t="shared" si="7"/>
        <v>0</v>
      </c>
      <c r="W41" s="144">
        <f t="shared" si="8"/>
        <v>0</v>
      </c>
      <c r="X41" s="144">
        <f t="shared" ref="X41:X50" si="17">VLOOKUP(C41,JNferiepenge,3,1)</f>
        <v>0</v>
      </c>
      <c r="Y41" s="144">
        <f t="shared" si="10"/>
        <v>31.779800000000002</v>
      </c>
      <c r="Z41" s="169">
        <f t="shared" si="1"/>
        <v>0</v>
      </c>
      <c r="AA41" s="274">
        <f t="shared" si="2"/>
        <v>0</v>
      </c>
      <c r="AB41" s="169">
        <f t="shared" si="11"/>
        <v>0</v>
      </c>
      <c r="AC41" s="274">
        <f t="shared" si="3"/>
        <v>0</v>
      </c>
      <c r="AD41" s="169">
        <f t="shared" si="4"/>
        <v>0</v>
      </c>
      <c r="AE41" s="274">
        <f t="shared" si="5"/>
        <v>0</v>
      </c>
      <c r="AF41" s="169">
        <f t="shared" si="12"/>
        <v>0</v>
      </c>
      <c r="AG41" s="274">
        <f t="shared" si="6"/>
        <v>0</v>
      </c>
      <c r="AH41" s="169">
        <f t="shared" si="13"/>
        <v>0</v>
      </c>
      <c r="AI41" s="169"/>
      <c r="AJ41" s="169">
        <f t="shared" si="14"/>
        <v>0</v>
      </c>
      <c r="AK41" s="169">
        <f t="shared" si="15"/>
        <v>0</v>
      </c>
      <c r="AL41" s="169"/>
      <c r="AM41" s="169"/>
      <c r="AN41" s="169"/>
      <c r="AQ41" s="169"/>
      <c r="AW41" s="144">
        <f t="shared" si="16"/>
        <v>0</v>
      </c>
    </row>
    <row r="42" spans="1:49" ht="9.75" thickBot="1">
      <c r="A42" s="175"/>
      <c r="B42" s="176"/>
      <c r="C42" s="176"/>
      <c r="D42" s="170" t="str">
        <f t="shared" si="0"/>
        <v xml:space="preserve"> </v>
      </c>
      <c r="E42" s="178"/>
      <c r="F42" s="288">
        <v>0</v>
      </c>
      <c r="G42" s="178">
        <v>37</v>
      </c>
      <c r="H42" s="178">
        <v>37</v>
      </c>
      <c r="I42" s="178"/>
      <c r="J42" s="180"/>
      <c r="K42" s="178"/>
      <c r="L42" s="180"/>
      <c r="M42" s="180"/>
      <c r="N42" s="178"/>
      <c r="O42" s="178"/>
      <c r="P42" s="178"/>
      <c r="Q42" s="171">
        <f>AS42</f>
        <v>0</v>
      </c>
      <c r="R42" s="171">
        <f>AT42</f>
        <v>0</v>
      </c>
      <c r="S42" s="172">
        <f>AU42</f>
        <v>0</v>
      </c>
      <c r="U42" s="144">
        <f>IF(OR(C41=5,C42=5),0,1)</f>
        <v>1</v>
      </c>
      <c r="V42" s="144">
        <f t="shared" si="7"/>
        <v>0</v>
      </c>
      <c r="W42" s="144">
        <f t="shared" si="8"/>
        <v>0</v>
      </c>
      <c r="X42" s="144">
        <f t="shared" si="17"/>
        <v>0</v>
      </c>
      <c r="Y42" s="144">
        <f t="shared" si="10"/>
        <v>31.779800000000002</v>
      </c>
      <c r="Z42" s="169">
        <f t="shared" si="1"/>
        <v>0</v>
      </c>
      <c r="AA42" s="274">
        <f t="shared" si="2"/>
        <v>0</v>
      </c>
      <c r="AB42" s="169">
        <f t="shared" si="11"/>
        <v>0</v>
      </c>
      <c r="AC42" s="274">
        <f t="shared" si="3"/>
        <v>0</v>
      </c>
      <c r="AD42" s="169">
        <f t="shared" si="4"/>
        <v>0</v>
      </c>
      <c r="AE42" s="274">
        <f t="shared" si="5"/>
        <v>0</v>
      </c>
      <c r="AF42" s="169">
        <f t="shared" si="12"/>
        <v>0</v>
      </c>
      <c r="AG42" s="274">
        <f t="shared" si="6"/>
        <v>0</v>
      </c>
      <c r="AH42" s="169">
        <f t="shared" si="13"/>
        <v>0</v>
      </c>
      <c r="AI42" s="169"/>
      <c r="AJ42" s="169">
        <f t="shared" si="14"/>
        <v>0</v>
      </c>
      <c r="AK42" s="169">
        <f t="shared" si="15"/>
        <v>0</v>
      </c>
      <c r="AL42" s="169"/>
      <c r="AM42" s="169">
        <f>AK41*W41+AK42*W42</f>
        <v>0</v>
      </c>
      <c r="AN42" s="169">
        <f>(SUM(AD41:AG41)*W41+SUM(AD42:AG42)*W42)*12*VLOOKUP(C42,JNovergang,3,1)</f>
        <v>0</v>
      </c>
      <c r="AO42" s="169">
        <f>AM42-AN42</f>
        <v>0</v>
      </c>
      <c r="AP42" s="169">
        <f>M42*(100+X42)%</f>
        <v>0</v>
      </c>
      <c r="AQ42" s="274">
        <f>ROUND(M42*F42,2)</f>
        <v>0</v>
      </c>
      <c r="AS42" s="274">
        <f>ROUND((AP42+AQ42)+AM42*(N42/12),0)</f>
        <v>0</v>
      </c>
      <c r="AT42" s="274">
        <f>ROUND(AM42*(O42/12),0)</f>
        <v>0</v>
      </c>
      <c r="AU42" s="274">
        <f>ROUND(AM42*(P42/12)*U42,0)</f>
        <v>0</v>
      </c>
      <c r="AW42" s="144">
        <f t="shared" si="16"/>
        <v>0</v>
      </c>
    </row>
    <row r="43" spans="1:49">
      <c r="A43" s="173"/>
      <c r="B43" s="174"/>
      <c r="C43" s="174"/>
      <c r="D43" s="165" t="str">
        <f t="shared" si="0"/>
        <v xml:space="preserve"> </v>
      </c>
      <c r="E43" s="177"/>
      <c r="F43" s="287">
        <v>0</v>
      </c>
      <c r="G43" s="177">
        <v>37</v>
      </c>
      <c r="H43" s="177">
        <v>37</v>
      </c>
      <c r="I43" s="177"/>
      <c r="J43" s="179"/>
      <c r="K43" s="177"/>
      <c r="L43" s="179"/>
      <c r="M43" s="166"/>
      <c r="N43" s="166"/>
      <c r="O43" s="166"/>
      <c r="P43" s="166"/>
      <c r="Q43" s="167"/>
      <c r="R43" s="167"/>
      <c r="S43" s="168"/>
      <c r="V43" s="144">
        <f t="shared" si="7"/>
        <v>0</v>
      </c>
      <c r="W43" s="144">
        <f t="shared" si="8"/>
        <v>0</v>
      </c>
      <c r="X43" s="144">
        <f t="shared" si="17"/>
        <v>0</v>
      </c>
      <c r="Y43" s="144">
        <f t="shared" si="10"/>
        <v>31.779800000000002</v>
      </c>
      <c r="Z43" s="169">
        <f t="shared" si="1"/>
        <v>0</v>
      </c>
      <c r="AA43" s="274">
        <f t="shared" si="2"/>
        <v>0</v>
      </c>
      <c r="AB43" s="169">
        <f t="shared" si="11"/>
        <v>0</v>
      </c>
      <c r="AC43" s="274">
        <f t="shared" si="3"/>
        <v>0</v>
      </c>
      <c r="AD43" s="169">
        <f t="shared" si="4"/>
        <v>0</v>
      </c>
      <c r="AE43" s="274">
        <f t="shared" si="5"/>
        <v>0</v>
      </c>
      <c r="AF43" s="169">
        <f t="shared" si="12"/>
        <v>0</v>
      </c>
      <c r="AG43" s="274">
        <f t="shared" si="6"/>
        <v>0</v>
      </c>
      <c r="AH43" s="169">
        <f t="shared" si="13"/>
        <v>0</v>
      </c>
      <c r="AI43" s="169"/>
      <c r="AJ43" s="169">
        <f t="shared" si="14"/>
        <v>0</v>
      </c>
      <c r="AK43" s="169">
        <f t="shared" si="15"/>
        <v>0</v>
      </c>
      <c r="AL43" s="169"/>
      <c r="AM43" s="169"/>
      <c r="AN43" s="169"/>
      <c r="AQ43" s="169"/>
      <c r="AW43" s="144">
        <f t="shared" si="16"/>
        <v>0</v>
      </c>
    </row>
    <row r="44" spans="1:49" ht="9.75" thickBot="1">
      <c r="A44" s="175"/>
      <c r="B44" s="176"/>
      <c r="C44" s="176"/>
      <c r="D44" s="170" t="str">
        <f t="shared" si="0"/>
        <v xml:space="preserve"> </v>
      </c>
      <c r="E44" s="178"/>
      <c r="F44" s="288">
        <v>0</v>
      </c>
      <c r="G44" s="178">
        <v>37</v>
      </c>
      <c r="H44" s="178">
        <v>37</v>
      </c>
      <c r="I44" s="178"/>
      <c r="J44" s="180"/>
      <c r="K44" s="178"/>
      <c r="L44" s="180"/>
      <c r="M44" s="180"/>
      <c r="N44" s="178"/>
      <c r="O44" s="178"/>
      <c r="P44" s="178"/>
      <c r="Q44" s="171">
        <f>AS44</f>
        <v>0</v>
      </c>
      <c r="R44" s="171">
        <f>AT44</f>
        <v>0</v>
      </c>
      <c r="S44" s="172">
        <f>AU44</f>
        <v>0</v>
      </c>
      <c r="U44" s="144">
        <f>IF(OR(C43=5,C44=5),0,1)</f>
        <v>1</v>
      </c>
      <c r="V44" s="144">
        <f t="shared" si="7"/>
        <v>0</v>
      </c>
      <c r="W44" s="144">
        <f t="shared" si="8"/>
        <v>0</v>
      </c>
      <c r="X44" s="144">
        <f t="shared" si="17"/>
        <v>0</v>
      </c>
      <c r="Y44" s="144">
        <f t="shared" si="10"/>
        <v>31.779800000000002</v>
      </c>
      <c r="Z44" s="169">
        <f t="shared" si="1"/>
        <v>0</v>
      </c>
      <c r="AA44" s="274">
        <f t="shared" si="2"/>
        <v>0</v>
      </c>
      <c r="AB44" s="169">
        <f t="shared" si="11"/>
        <v>0</v>
      </c>
      <c r="AC44" s="274">
        <f t="shared" si="3"/>
        <v>0</v>
      </c>
      <c r="AD44" s="169">
        <f t="shared" si="4"/>
        <v>0</v>
      </c>
      <c r="AE44" s="274">
        <f t="shared" si="5"/>
        <v>0</v>
      </c>
      <c r="AF44" s="169">
        <f t="shared" si="12"/>
        <v>0</v>
      </c>
      <c r="AG44" s="274">
        <f t="shared" si="6"/>
        <v>0</v>
      </c>
      <c r="AH44" s="169">
        <f t="shared" si="13"/>
        <v>0</v>
      </c>
      <c r="AI44" s="169"/>
      <c r="AJ44" s="169">
        <f t="shared" si="14"/>
        <v>0</v>
      </c>
      <c r="AK44" s="169">
        <f t="shared" si="15"/>
        <v>0</v>
      </c>
      <c r="AL44" s="169"/>
      <c r="AM44" s="169">
        <f>AK43*W43+AK44*W44</f>
        <v>0</v>
      </c>
      <c r="AN44" s="169">
        <f>(SUM(AD43:AG43)*W43+SUM(AD44:AG44)*W44)*12*VLOOKUP(C44,JNovergang,3,1)</f>
        <v>0</v>
      </c>
      <c r="AO44" s="169">
        <f>AM44-AN44</f>
        <v>0</v>
      </c>
      <c r="AP44" s="169">
        <f>M44*(100+X44)%</f>
        <v>0</v>
      </c>
      <c r="AQ44" s="274">
        <f>ROUND(M44*F44,2)</f>
        <v>0</v>
      </c>
      <c r="AS44" s="274">
        <f>ROUND((AP44+AQ44)+AM44*(N44/12),0)</f>
        <v>0</v>
      </c>
      <c r="AT44" s="274">
        <f>ROUND(AM44*(O44/12),0)</f>
        <v>0</v>
      </c>
      <c r="AU44" s="274">
        <f>ROUND(AM44*(P44/12)*U44,0)</f>
        <v>0</v>
      </c>
      <c r="AW44" s="144">
        <f t="shared" si="16"/>
        <v>0</v>
      </c>
    </row>
    <row r="45" spans="1:49">
      <c r="A45" s="173"/>
      <c r="B45" s="174"/>
      <c r="C45" s="174"/>
      <c r="D45" s="165" t="str">
        <f t="shared" si="0"/>
        <v xml:space="preserve"> </v>
      </c>
      <c r="E45" s="177"/>
      <c r="F45" s="287">
        <v>0</v>
      </c>
      <c r="G45" s="177">
        <v>37</v>
      </c>
      <c r="H45" s="177">
        <v>37</v>
      </c>
      <c r="I45" s="177"/>
      <c r="J45" s="179"/>
      <c r="K45" s="177"/>
      <c r="L45" s="179"/>
      <c r="M45" s="166"/>
      <c r="N45" s="166"/>
      <c r="O45" s="166"/>
      <c r="P45" s="166"/>
      <c r="Q45" s="167"/>
      <c r="R45" s="167"/>
      <c r="S45" s="168"/>
      <c r="V45" s="144">
        <f t="shared" si="7"/>
        <v>0</v>
      </c>
      <c r="W45" s="144">
        <f t="shared" si="8"/>
        <v>0</v>
      </c>
      <c r="X45" s="144">
        <f t="shared" si="17"/>
        <v>0</v>
      </c>
      <c r="Y45" s="144">
        <f t="shared" si="10"/>
        <v>31.779800000000002</v>
      </c>
      <c r="Z45" s="169">
        <f t="shared" si="1"/>
        <v>0</v>
      </c>
      <c r="AA45" s="274">
        <f t="shared" si="2"/>
        <v>0</v>
      </c>
      <c r="AB45" s="169">
        <f t="shared" si="11"/>
        <v>0</v>
      </c>
      <c r="AC45" s="274">
        <f t="shared" si="3"/>
        <v>0</v>
      </c>
      <c r="AD45" s="169">
        <f t="shared" si="4"/>
        <v>0</v>
      </c>
      <c r="AE45" s="274">
        <f t="shared" si="5"/>
        <v>0</v>
      </c>
      <c r="AF45" s="169">
        <f t="shared" si="12"/>
        <v>0</v>
      </c>
      <c r="AG45" s="274">
        <f t="shared" si="6"/>
        <v>0</v>
      </c>
      <c r="AH45" s="169">
        <f t="shared" si="13"/>
        <v>0</v>
      </c>
      <c r="AI45" s="169"/>
      <c r="AJ45" s="169">
        <f t="shared" si="14"/>
        <v>0</v>
      </c>
      <c r="AK45" s="169">
        <f t="shared" si="15"/>
        <v>0</v>
      </c>
      <c r="AL45" s="169"/>
      <c r="AM45" s="169"/>
      <c r="AN45" s="169"/>
      <c r="AQ45" s="169"/>
      <c r="AW45" s="144">
        <f t="shared" si="16"/>
        <v>0</v>
      </c>
    </row>
    <row r="46" spans="1:49" ht="9.75" thickBot="1">
      <c r="A46" s="175"/>
      <c r="B46" s="176"/>
      <c r="C46" s="176"/>
      <c r="D46" s="170" t="str">
        <f t="shared" si="0"/>
        <v xml:space="preserve"> </v>
      </c>
      <c r="E46" s="178"/>
      <c r="F46" s="288">
        <v>0</v>
      </c>
      <c r="G46" s="178">
        <v>37</v>
      </c>
      <c r="H46" s="178">
        <v>37</v>
      </c>
      <c r="I46" s="178"/>
      <c r="J46" s="180"/>
      <c r="K46" s="178"/>
      <c r="L46" s="180"/>
      <c r="M46" s="180"/>
      <c r="N46" s="178"/>
      <c r="O46" s="178"/>
      <c r="P46" s="178"/>
      <c r="Q46" s="171">
        <f>AS46</f>
        <v>0</v>
      </c>
      <c r="R46" s="171">
        <f>AT46</f>
        <v>0</v>
      </c>
      <c r="S46" s="172">
        <f>AU46</f>
        <v>0</v>
      </c>
      <c r="U46" s="144">
        <f>IF(OR(C45=5,C46=5),0,1)</f>
        <v>1</v>
      </c>
      <c r="V46" s="144">
        <f t="shared" si="7"/>
        <v>0</v>
      </c>
      <c r="W46" s="144">
        <f t="shared" si="8"/>
        <v>0</v>
      </c>
      <c r="X46" s="144">
        <f t="shared" si="17"/>
        <v>0</v>
      </c>
      <c r="Y46" s="144">
        <f t="shared" si="10"/>
        <v>31.779800000000002</v>
      </c>
      <c r="Z46" s="169">
        <f t="shared" si="1"/>
        <v>0</v>
      </c>
      <c r="AA46" s="274">
        <f t="shared" si="2"/>
        <v>0</v>
      </c>
      <c r="AB46" s="169">
        <f t="shared" si="11"/>
        <v>0</v>
      </c>
      <c r="AC46" s="274">
        <f t="shared" si="3"/>
        <v>0</v>
      </c>
      <c r="AD46" s="169">
        <f t="shared" si="4"/>
        <v>0</v>
      </c>
      <c r="AE46" s="274">
        <f t="shared" si="5"/>
        <v>0</v>
      </c>
      <c r="AF46" s="169">
        <f t="shared" si="12"/>
        <v>0</v>
      </c>
      <c r="AG46" s="274">
        <f t="shared" si="6"/>
        <v>0</v>
      </c>
      <c r="AH46" s="169">
        <f t="shared" si="13"/>
        <v>0</v>
      </c>
      <c r="AI46" s="169"/>
      <c r="AJ46" s="169">
        <f t="shared" si="14"/>
        <v>0</v>
      </c>
      <c r="AK46" s="169">
        <f t="shared" si="15"/>
        <v>0</v>
      </c>
      <c r="AL46" s="169"/>
      <c r="AM46" s="169">
        <f>AK45*W45+AK46*W46</f>
        <v>0</v>
      </c>
      <c r="AN46" s="169">
        <f>(SUM(AD45:AG45)*W45+SUM(AD46:AG46)*W46)*12*VLOOKUP(C46,JNovergang,3,1)</f>
        <v>0</v>
      </c>
      <c r="AO46" s="169">
        <f>AM46-AN46</f>
        <v>0</v>
      </c>
      <c r="AP46" s="169">
        <f>M46*(100+X46)%</f>
        <v>0</v>
      </c>
      <c r="AQ46" s="274">
        <f>ROUND(M46*F46,2)</f>
        <v>0</v>
      </c>
      <c r="AS46" s="274">
        <f>ROUND((AP46+AQ46)+AM46*(N46/12),0)</f>
        <v>0</v>
      </c>
      <c r="AT46" s="274">
        <f>ROUND(AM46*(O46/12),0)</f>
        <v>0</v>
      </c>
      <c r="AU46" s="274">
        <f>ROUND(AM46*(P46/12)*U46,0)</f>
        <v>0</v>
      </c>
      <c r="AW46" s="144">
        <f t="shared" si="16"/>
        <v>0</v>
      </c>
    </row>
    <row r="47" spans="1:49">
      <c r="A47" s="173"/>
      <c r="B47" s="174"/>
      <c r="C47" s="174"/>
      <c r="D47" s="165" t="str">
        <f t="shared" si="0"/>
        <v xml:space="preserve"> </v>
      </c>
      <c r="E47" s="177"/>
      <c r="F47" s="287">
        <v>0</v>
      </c>
      <c r="G47" s="177">
        <v>37</v>
      </c>
      <c r="H47" s="177">
        <v>37</v>
      </c>
      <c r="I47" s="177"/>
      <c r="J47" s="179"/>
      <c r="K47" s="177"/>
      <c r="L47" s="179"/>
      <c r="M47" s="166"/>
      <c r="N47" s="166"/>
      <c r="O47" s="166"/>
      <c r="P47" s="166"/>
      <c r="Q47" s="167"/>
      <c r="R47" s="167"/>
      <c r="S47" s="168"/>
      <c r="V47" s="144">
        <f t="shared" si="7"/>
        <v>0</v>
      </c>
      <c r="W47" s="144">
        <f t="shared" si="8"/>
        <v>0</v>
      </c>
      <c r="X47" s="144">
        <f t="shared" si="17"/>
        <v>0</v>
      </c>
      <c r="Y47" s="144">
        <f t="shared" si="10"/>
        <v>31.779800000000002</v>
      </c>
      <c r="Z47" s="169">
        <f t="shared" si="1"/>
        <v>0</v>
      </c>
      <c r="AA47" s="274">
        <f t="shared" si="2"/>
        <v>0</v>
      </c>
      <c r="AB47" s="169">
        <f t="shared" si="11"/>
        <v>0</v>
      </c>
      <c r="AC47" s="274">
        <f t="shared" si="3"/>
        <v>0</v>
      </c>
      <c r="AD47" s="169">
        <f t="shared" si="4"/>
        <v>0</v>
      </c>
      <c r="AE47" s="274">
        <f t="shared" si="5"/>
        <v>0</v>
      </c>
      <c r="AF47" s="169">
        <f t="shared" si="12"/>
        <v>0</v>
      </c>
      <c r="AG47" s="274">
        <f t="shared" si="6"/>
        <v>0</v>
      </c>
      <c r="AH47" s="169">
        <f t="shared" si="13"/>
        <v>0</v>
      </c>
      <c r="AI47" s="169"/>
      <c r="AJ47" s="169">
        <f t="shared" si="14"/>
        <v>0</v>
      </c>
      <c r="AK47" s="169">
        <f t="shared" si="15"/>
        <v>0</v>
      </c>
      <c r="AL47" s="169"/>
      <c r="AM47" s="169"/>
      <c r="AN47" s="169"/>
      <c r="AQ47" s="169"/>
      <c r="AW47" s="144">
        <f t="shared" si="16"/>
        <v>0</v>
      </c>
    </row>
    <row r="48" spans="1:49" ht="9.75" thickBot="1">
      <c r="A48" s="175"/>
      <c r="B48" s="176"/>
      <c r="C48" s="176"/>
      <c r="D48" s="170" t="str">
        <f t="shared" si="0"/>
        <v xml:space="preserve"> </v>
      </c>
      <c r="E48" s="178"/>
      <c r="F48" s="288">
        <v>0</v>
      </c>
      <c r="G48" s="178">
        <v>37</v>
      </c>
      <c r="H48" s="178">
        <v>37</v>
      </c>
      <c r="I48" s="178"/>
      <c r="J48" s="180"/>
      <c r="K48" s="178"/>
      <c r="L48" s="180"/>
      <c r="M48" s="180"/>
      <c r="N48" s="178"/>
      <c r="O48" s="178"/>
      <c r="P48" s="178"/>
      <c r="Q48" s="171">
        <f>AS48</f>
        <v>0</v>
      </c>
      <c r="R48" s="171">
        <f>AT48</f>
        <v>0</v>
      </c>
      <c r="S48" s="172">
        <f>AU48</f>
        <v>0</v>
      </c>
      <c r="U48" s="144">
        <f>IF(OR(C47=5,C48=5),0,1)</f>
        <v>1</v>
      </c>
      <c r="V48" s="144">
        <f t="shared" si="7"/>
        <v>0</v>
      </c>
      <c r="W48" s="144">
        <f t="shared" si="8"/>
        <v>0</v>
      </c>
      <c r="X48" s="144">
        <f t="shared" si="17"/>
        <v>0</v>
      </c>
      <c r="Y48" s="144">
        <f t="shared" si="10"/>
        <v>31.779800000000002</v>
      </c>
      <c r="Z48" s="169">
        <f t="shared" si="1"/>
        <v>0</v>
      </c>
      <c r="AA48" s="274">
        <f t="shared" si="2"/>
        <v>0</v>
      </c>
      <c r="AB48" s="169">
        <f t="shared" si="11"/>
        <v>0</v>
      </c>
      <c r="AC48" s="274">
        <f t="shared" si="3"/>
        <v>0</v>
      </c>
      <c r="AD48" s="169">
        <f t="shared" si="4"/>
        <v>0</v>
      </c>
      <c r="AE48" s="274">
        <f t="shared" si="5"/>
        <v>0</v>
      </c>
      <c r="AF48" s="169">
        <f t="shared" si="12"/>
        <v>0</v>
      </c>
      <c r="AG48" s="274">
        <f t="shared" si="6"/>
        <v>0</v>
      </c>
      <c r="AH48" s="169">
        <f t="shared" si="13"/>
        <v>0</v>
      </c>
      <c r="AI48" s="169"/>
      <c r="AJ48" s="169">
        <f t="shared" si="14"/>
        <v>0</v>
      </c>
      <c r="AK48" s="169">
        <f t="shared" si="15"/>
        <v>0</v>
      </c>
      <c r="AL48" s="169"/>
      <c r="AM48" s="169">
        <f>AK47*W47+AK48*W48</f>
        <v>0</v>
      </c>
      <c r="AN48" s="169">
        <f>(SUM(AD47:AG47)*W47+SUM(AD48:AG48)*W48)*12*VLOOKUP(C48,JNovergang,3,1)</f>
        <v>0</v>
      </c>
      <c r="AO48" s="169">
        <f>AM48-AN48</f>
        <v>0</v>
      </c>
      <c r="AP48" s="169">
        <f>M48*(100+X48)%</f>
        <v>0</v>
      </c>
      <c r="AQ48" s="274">
        <f>ROUND(M48*F48,2)</f>
        <v>0</v>
      </c>
      <c r="AS48" s="274">
        <f>ROUND((AP48+AQ48)+AM48*(N48/12),0)</f>
        <v>0</v>
      </c>
      <c r="AT48" s="274">
        <f>ROUND(AM48*(O48/12),0)</f>
        <v>0</v>
      </c>
      <c r="AU48" s="274">
        <f>ROUND(AM48*(P48/12)*U48,0)</f>
        <v>0</v>
      </c>
      <c r="AW48" s="144">
        <f t="shared" si="16"/>
        <v>0</v>
      </c>
    </row>
    <row r="49" spans="1:49">
      <c r="A49" s="173"/>
      <c r="B49" s="174"/>
      <c r="C49" s="174"/>
      <c r="D49" s="165" t="str">
        <f t="shared" si="0"/>
        <v xml:space="preserve"> </v>
      </c>
      <c r="E49" s="177"/>
      <c r="F49" s="287">
        <v>0</v>
      </c>
      <c r="G49" s="177">
        <v>37</v>
      </c>
      <c r="H49" s="177">
        <v>37</v>
      </c>
      <c r="I49" s="177"/>
      <c r="J49" s="179"/>
      <c r="K49" s="177"/>
      <c r="L49" s="179"/>
      <c r="M49" s="166"/>
      <c r="N49" s="166"/>
      <c r="O49" s="166"/>
      <c r="P49" s="166"/>
      <c r="Q49" s="167"/>
      <c r="R49" s="167"/>
      <c r="S49" s="168"/>
      <c r="V49" s="144">
        <f t="shared" si="7"/>
        <v>0</v>
      </c>
      <c r="W49" s="144">
        <f t="shared" si="8"/>
        <v>0</v>
      </c>
      <c r="X49" s="144">
        <f t="shared" si="17"/>
        <v>0</v>
      </c>
      <c r="Y49" s="144">
        <f t="shared" si="10"/>
        <v>31.779800000000002</v>
      </c>
      <c r="Z49" s="169">
        <f t="shared" si="1"/>
        <v>0</v>
      </c>
      <c r="AA49" s="274">
        <f t="shared" si="2"/>
        <v>0</v>
      </c>
      <c r="AB49" s="169">
        <f t="shared" si="11"/>
        <v>0</v>
      </c>
      <c r="AC49" s="274">
        <f t="shared" si="3"/>
        <v>0</v>
      </c>
      <c r="AD49" s="169">
        <f t="shared" si="4"/>
        <v>0</v>
      </c>
      <c r="AE49" s="274">
        <f t="shared" si="5"/>
        <v>0</v>
      </c>
      <c r="AF49" s="169">
        <f t="shared" si="12"/>
        <v>0</v>
      </c>
      <c r="AG49" s="274">
        <f t="shared" si="6"/>
        <v>0</v>
      </c>
      <c r="AH49" s="169">
        <f t="shared" si="13"/>
        <v>0</v>
      </c>
      <c r="AI49" s="169"/>
      <c r="AJ49" s="169">
        <f t="shared" si="14"/>
        <v>0</v>
      </c>
      <c r="AK49" s="169">
        <f t="shared" si="15"/>
        <v>0</v>
      </c>
      <c r="AL49" s="169"/>
      <c r="AM49" s="169"/>
      <c r="AN49" s="169"/>
      <c r="AQ49" s="169"/>
      <c r="AW49" s="144">
        <f t="shared" si="16"/>
        <v>0</v>
      </c>
    </row>
    <row r="50" spans="1:49" ht="9.75" thickBot="1">
      <c r="A50" s="175"/>
      <c r="B50" s="176"/>
      <c r="C50" s="176"/>
      <c r="D50" s="170" t="str">
        <f t="shared" si="0"/>
        <v xml:space="preserve"> </v>
      </c>
      <c r="E50" s="178"/>
      <c r="F50" s="288">
        <v>0</v>
      </c>
      <c r="G50" s="178">
        <v>37</v>
      </c>
      <c r="H50" s="178">
        <v>37</v>
      </c>
      <c r="I50" s="178"/>
      <c r="J50" s="180"/>
      <c r="K50" s="178"/>
      <c r="L50" s="180"/>
      <c r="M50" s="180"/>
      <c r="N50" s="178"/>
      <c r="O50" s="178"/>
      <c r="P50" s="178"/>
      <c r="Q50" s="171">
        <f>AS50</f>
        <v>0</v>
      </c>
      <c r="R50" s="171">
        <f>AT50</f>
        <v>0</v>
      </c>
      <c r="S50" s="172">
        <f>AU50</f>
        <v>0</v>
      </c>
      <c r="U50" s="144">
        <f>IF(OR(C49=5,C50=5),0,1)</f>
        <v>1</v>
      </c>
      <c r="V50" s="144">
        <f t="shared" si="7"/>
        <v>0</v>
      </c>
      <c r="W50" s="144">
        <f t="shared" si="8"/>
        <v>0</v>
      </c>
      <c r="X50" s="144">
        <f t="shared" si="17"/>
        <v>0</v>
      </c>
      <c r="Y50" s="144">
        <f t="shared" si="10"/>
        <v>31.779800000000002</v>
      </c>
      <c r="Z50" s="169">
        <f t="shared" si="1"/>
        <v>0</v>
      </c>
      <c r="AA50" s="274">
        <f t="shared" si="2"/>
        <v>0</v>
      </c>
      <c r="AB50" s="169">
        <f t="shared" si="11"/>
        <v>0</v>
      </c>
      <c r="AC50" s="274">
        <f t="shared" si="3"/>
        <v>0</v>
      </c>
      <c r="AD50" s="169">
        <f t="shared" si="4"/>
        <v>0</v>
      </c>
      <c r="AE50" s="274">
        <f t="shared" si="5"/>
        <v>0</v>
      </c>
      <c r="AF50" s="169">
        <f t="shared" si="12"/>
        <v>0</v>
      </c>
      <c r="AG50" s="274">
        <f t="shared" si="6"/>
        <v>0</v>
      </c>
      <c r="AH50" s="169">
        <f t="shared" si="13"/>
        <v>0</v>
      </c>
      <c r="AI50" s="169"/>
      <c r="AJ50" s="169">
        <f t="shared" si="14"/>
        <v>0</v>
      </c>
      <c r="AK50" s="169">
        <f t="shared" si="15"/>
        <v>0</v>
      </c>
      <c r="AL50" s="169"/>
      <c r="AM50" s="169">
        <f>AK49*W49+AK50*W50</f>
        <v>0</v>
      </c>
      <c r="AN50" s="169">
        <f>(SUM(AD49:AG49)*W49+SUM(AD50:AG50)*W50)*12*VLOOKUP(C50,JNovergang,3,1)</f>
        <v>0</v>
      </c>
      <c r="AO50" s="169">
        <f>AM50-AN50</f>
        <v>0</v>
      </c>
      <c r="AP50" s="169">
        <f>M50*(100+X50)%</f>
        <v>0</v>
      </c>
      <c r="AQ50" s="274">
        <f>ROUND(M50*F50,2)</f>
        <v>0</v>
      </c>
      <c r="AS50" s="274">
        <f>ROUND((AP50+AQ50)+AM50*(N50/12),0)</f>
        <v>0</v>
      </c>
      <c r="AT50" s="274">
        <f>ROUND(AM50*(O50/12),0)</f>
        <v>0</v>
      </c>
      <c r="AU50" s="274">
        <f>ROUND(AM50*(P50/12)*U50,0)</f>
        <v>0</v>
      </c>
      <c r="AW50" s="144">
        <f t="shared" si="16"/>
        <v>0</v>
      </c>
    </row>
    <row r="51" spans="1:49">
      <c r="A51" s="173"/>
      <c r="B51" s="174"/>
      <c r="C51" s="174"/>
      <c r="D51" s="165" t="str">
        <f t="shared" si="0"/>
        <v xml:space="preserve"> </v>
      </c>
      <c r="E51" s="177"/>
      <c r="F51" s="287">
        <v>0</v>
      </c>
      <c r="G51" s="177">
        <v>37</v>
      </c>
      <c r="H51" s="177">
        <v>37</v>
      </c>
      <c r="I51" s="177"/>
      <c r="J51" s="179"/>
      <c r="K51" s="177"/>
      <c r="L51" s="179"/>
      <c r="M51" s="166"/>
      <c r="N51" s="166"/>
      <c r="O51" s="166"/>
      <c r="P51" s="166"/>
      <c r="Q51" s="167"/>
      <c r="R51" s="167"/>
      <c r="S51" s="168"/>
      <c r="V51" s="144">
        <f t="shared" si="7"/>
        <v>0</v>
      </c>
      <c r="W51" s="144">
        <f t="shared" si="8"/>
        <v>0</v>
      </c>
      <c r="X51" s="144">
        <f t="shared" ref="X51:X114" si="18">VLOOKUP(C51,JNferiepenge,3,1)</f>
        <v>0</v>
      </c>
      <c r="Y51" s="144">
        <f t="shared" si="10"/>
        <v>31.779800000000002</v>
      </c>
      <c r="Z51" s="169">
        <f t="shared" si="1"/>
        <v>0</v>
      </c>
      <c r="AA51" s="274">
        <f t="shared" si="2"/>
        <v>0</v>
      </c>
      <c r="AB51" s="169">
        <f t="shared" si="11"/>
        <v>0</v>
      </c>
      <c r="AC51" s="274">
        <f t="shared" si="3"/>
        <v>0</v>
      </c>
      <c r="AD51" s="169">
        <f t="shared" si="4"/>
        <v>0</v>
      </c>
      <c r="AE51" s="274">
        <f t="shared" si="5"/>
        <v>0</v>
      </c>
      <c r="AF51" s="169">
        <f t="shared" si="12"/>
        <v>0</v>
      </c>
      <c r="AG51" s="274">
        <f t="shared" si="6"/>
        <v>0</v>
      </c>
      <c r="AH51" s="169">
        <f t="shared" si="13"/>
        <v>0</v>
      </c>
      <c r="AI51" s="169"/>
      <c r="AJ51" s="169">
        <f t="shared" si="14"/>
        <v>0</v>
      </c>
      <c r="AK51" s="169">
        <f t="shared" si="15"/>
        <v>0</v>
      </c>
      <c r="AL51" s="169"/>
      <c r="AM51" s="169"/>
      <c r="AN51" s="169"/>
      <c r="AQ51" s="169"/>
      <c r="AW51" s="144">
        <f t="shared" si="16"/>
        <v>0</v>
      </c>
    </row>
    <row r="52" spans="1:49" ht="9.75" thickBot="1">
      <c r="A52" s="175"/>
      <c r="B52" s="176"/>
      <c r="C52" s="176"/>
      <c r="D52" s="170" t="str">
        <f t="shared" si="0"/>
        <v xml:space="preserve"> </v>
      </c>
      <c r="E52" s="178"/>
      <c r="F52" s="288">
        <v>0</v>
      </c>
      <c r="G52" s="178">
        <v>37</v>
      </c>
      <c r="H52" s="178">
        <v>37</v>
      </c>
      <c r="I52" s="178"/>
      <c r="J52" s="180"/>
      <c r="K52" s="178"/>
      <c r="L52" s="180"/>
      <c r="M52" s="180"/>
      <c r="N52" s="178"/>
      <c r="O52" s="178"/>
      <c r="P52" s="178"/>
      <c r="Q52" s="171">
        <f>AS52</f>
        <v>0</v>
      </c>
      <c r="R52" s="171">
        <f>AT52</f>
        <v>0</v>
      </c>
      <c r="S52" s="172">
        <f>AU52</f>
        <v>0</v>
      </c>
      <c r="U52" s="144">
        <f>IF(OR(C51=5,C52=5),0,1)</f>
        <v>1</v>
      </c>
      <c r="V52" s="144">
        <f t="shared" si="7"/>
        <v>0</v>
      </c>
      <c r="W52" s="144">
        <f t="shared" si="8"/>
        <v>0</v>
      </c>
      <c r="X52" s="144">
        <f t="shared" si="18"/>
        <v>0</v>
      </c>
      <c r="Y52" s="144">
        <f t="shared" si="10"/>
        <v>31.779800000000002</v>
      </c>
      <c r="Z52" s="169">
        <f t="shared" si="1"/>
        <v>0</v>
      </c>
      <c r="AA52" s="274">
        <f t="shared" si="2"/>
        <v>0</v>
      </c>
      <c r="AB52" s="169">
        <f t="shared" si="11"/>
        <v>0</v>
      </c>
      <c r="AC52" s="274">
        <f t="shared" si="3"/>
        <v>0</v>
      </c>
      <c r="AD52" s="169">
        <f t="shared" si="4"/>
        <v>0</v>
      </c>
      <c r="AE52" s="274">
        <f t="shared" si="5"/>
        <v>0</v>
      </c>
      <c r="AF52" s="169">
        <f t="shared" si="12"/>
        <v>0</v>
      </c>
      <c r="AG52" s="274">
        <f t="shared" si="6"/>
        <v>0</v>
      </c>
      <c r="AH52" s="169">
        <f t="shared" si="13"/>
        <v>0</v>
      </c>
      <c r="AI52" s="169"/>
      <c r="AJ52" s="169">
        <f t="shared" si="14"/>
        <v>0</v>
      </c>
      <c r="AK52" s="169">
        <f t="shared" si="15"/>
        <v>0</v>
      </c>
      <c r="AL52" s="169"/>
      <c r="AM52" s="169">
        <f>AK51*W51+AK52*W52</f>
        <v>0</v>
      </c>
      <c r="AN52" s="169">
        <f>(SUM(AD51:AG51)*W51+SUM(AD52:AG52)*W52)*12*VLOOKUP(C52,JNovergang,3,1)</f>
        <v>0</v>
      </c>
      <c r="AO52" s="169">
        <f>AM52-AN52</f>
        <v>0</v>
      </c>
      <c r="AP52" s="169">
        <f>M52*(100+X52)%</f>
        <v>0</v>
      </c>
      <c r="AQ52" s="274">
        <f>ROUND(M52*F52,2)</f>
        <v>0</v>
      </c>
      <c r="AS52" s="274">
        <f>ROUND((AP52+AQ52)+AM52*(N52/12),0)</f>
        <v>0</v>
      </c>
      <c r="AT52" s="274">
        <f>ROUND(AM52*(O52/12),0)</f>
        <v>0</v>
      </c>
      <c r="AU52" s="274">
        <f>ROUND(AM52*(P52/12)*U52,0)</f>
        <v>0</v>
      </c>
      <c r="AW52" s="144">
        <f t="shared" si="16"/>
        <v>0</v>
      </c>
    </row>
    <row r="53" spans="1:49">
      <c r="A53" s="173"/>
      <c r="B53" s="174"/>
      <c r="C53" s="174"/>
      <c r="D53" s="165" t="str">
        <f t="shared" si="0"/>
        <v xml:space="preserve"> </v>
      </c>
      <c r="E53" s="177"/>
      <c r="F53" s="287">
        <v>0</v>
      </c>
      <c r="G53" s="177">
        <v>37</v>
      </c>
      <c r="H53" s="177">
        <v>37</v>
      </c>
      <c r="I53" s="177"/>
      <c r="J53" s="179"/>
      <c r="K53" s="177"/>
      <c r="L53" s="179"/>
      <c r="M53" s="166"/>
      <c r="N53" s="166"/>
      <c r="O53" s="166"/>
      <c r="P53" s="166"/>
      <c r="Q53" s="167"/>
      <c r="R53" s="167"/>
      <c r="S53" s="168"/>
      <c r="V53" s="144">
        <f t="shared" si="7"/>
        <v>0</v>
      </c>
      <c r="W53" s="144">
        <f t="shared" si="8"/>
        <v>0</v>
      </c>
      <c r="X53" s="144">
        <f t="shared" si="18"/>
        <v>0</v>
      </c>
      <c r="Y53" s="144">
        <f t="shared" si="10"/>
        <v>31.779800000000002</v>
      </c>
      <c r="Z53" s="169">
        <f t="shared" si="1"/>
        <v>0</v>
      </c>
      <c r="AA53" s="274">
        <f t="shared" si="2"/>
        <v>0</v>
      </c>
      <c r="AB53" s="169">
        <f t="shared" si="11"/>
        <v>0</v>
      </c>
      <c r="AC53" s="274">
        <f t="shared" si="3"/>
        <v>0</v>
      </c>
      <c r="AD53" s="169">
        <f t="shared" si="4"/>
        <v>0</v>
      </c>
      <c r="AE53" s="274">
        <f t="shared" si="5"/>
        <v>0</v>
      </c>
      <c r="AF53" s="169">
        <f t="shared" si="12"/>
        <v>0</v>
      </c>
      <c r="AG53" s="274">
        <f t="shared" si="6"/>
        <v>0</v>
      </c>
      <c r="AH53" s="169">
        <f t="shared" si="13"/>
        <v>0</v>
      </c>
      <c r="AI53" s="169"/>
      <c r="AJ53" s="169">
        <f t="shared" si="14"/>
        <v>0</v>
      </c>
      <c r="AK53" s="169">
        <f t="shared" si="15"/>
        <v>0</v>
      </c>
      <c r="AL53" s="169"/>
      <c r="AM53" s="169"/>
      <c r="AN53" s="169"/>
      <c r="AQ53" s="169"/>
      <c r="AW53" s="144">
        <f t="shared" si="16"/>
        <v>0</v>
      </c>
    </row>
    <row r="54" spans="1:49" ht="9.75" thickBot="1">
      <c r="A54" s="175"/>
      <c r="B54" s="176"/>
      <c r="C54" s="176"/>
      <c r="D54" s="170" t="str">
        <f t="shared" si="0"/>
        <v xml:space="preserve"> </v>
      </c>
      <c r="E54" s="178"/>
      <c r="F54" s="288">
        <v>0</v>
      </c>
      <c r="G54" s="178">
        <v>37</v>
      </c>
      <c r="H54" s="178">
        <v>37</v>
      </c>
      <c r="I54" s="178"/>
      <c r="J54" s="180"/>
      <c r="K54" s="178"/>
      <c r="L54" s="180"/>
      <c r="M54" s="180"/>
      <c r="N54" s="178"/>
      <c r="O54" s="178"/>
      <c r="P54" s="178"/>
      <c r="Q54" s="171">
        <f>AS54</f>
        <v>0</v>
      </c>
      <c r="R54" s="171">
        <f>AT54</f>
        <v>0</v>
      </c>
      <c r="S54" s="172">
        <f>AU54</f>
        <v>0</v>
      </c>
      <c r="U54" s="144">
        <f>IF(OR(C53=5,C54=5),0,1)</f>
        <v>1</v>
      </c>
      <c r="V54" s="144">
        <f t="shared" si="7"/>
        <v>0</v>
      </c>
      <c r="W54" s="144">
        <f t="shared" si="8"/>
        <v>0</v>
      </c>
      <c r="X54" s="144">
        <f t="shared" si="18"/>
        <v>0</v>
      </c>
      <c r="Y54" s="144">
        <f t="shared" si="10"/>
        <v>31.779800000000002</v>
      </c>
      <c r="Z54" s="169">
        <f t="shared" si="1"/>
        <v>0</v>
      </c>
      <c r="AA54" s="274">
        <f t="shared" si="2"/>
        <v>0</v>
      </c>
      <c r="AB54" s="169">
        <f t="shared" si="11"/>
        <v>0</v>
      </c>
      <c r="AC54" s="274">
        <f t="shared" si="3"/>
        <v>0</v>
      </c>
      <c r="AD54" s="169">
        <f t="shared" si="4"/>
        <v>0</v>
      </c>
      <c r="AE54" s="274">
        <f t="shared" si="5"/>
        <v>0</v>
      </c>
      <c r="AF54" s="169">
        <f t="shared" si="12"/>
        <v>0</v>
      </c>
      <c r="AG54" s="274">
        <f t="shared" si="6"/>
        <v>0</v>
      </c>
      <c r="AH54" s="169">
        <f t="shared" si="13"/>
        <v>0</v>
      </c>
      <c r="AI54" s="169"/>
      <c r="AJ54" s="169">
        <f t="shared" si="14"/>
        <v>0</v>
      </c>
      <c r="AK54" s="169">
        <f t="shared" si="15"/>
        <v>0</v>
      </c>
      <c r="AL54" s="169"/>
      <c r="AM54" s="169">
        <f>AK53*W53+AK54*W54</f>
        <v>0</v>
      </c>
      <c r="AN54" s="169">
        <f>(SUM(AD53:AG53)*W53+SUM(AD54:AG54)*W54)*12*VLOOKUP(C54,JNovergang,3,1)</f>
        <v>0</v>
      </c>
      <c r="AO54" s="169">
        <f>AM54-AN54</f>
        <v>0</v>
      </c>
      <c r="AP54" s="169">
        <f>M54*(100+X54)%</f>
        <v>0</v>
      </c>
      <c r="AQ54" s="274">
        <f>ROUND(M54*F54,2)</f>
        <v>0</v>
      </c>
      <c r="AS54" s="274">
        <f>ROUND((AP54+AQ54)+AM54*(N54/12),0)</f>
        <v>0</v>
      </c>
      <c r="AT54" s="274">
        <f>ROUND(AM54*(O54/12),0)</f>
        <v>0</v>
      </c>
      <c r="AU54" s="274">
        <f>ROUND(AM54*(P54/12)*U54,0)</f>
        <v>0</v>
      </c>
      <c r="AW54" s="144">
        <f t="shared" si="16"/>
        <v>0</v>
      </c>
    </row>
    <row r="55" spans="1:49">
      <c r="A55" s="173"/>
      <c r="B55" s="174"/>
      <c r="C55" s="174"/>
      <c r="D55" s="165" t="str">
        <f t="shared" si="0"/>
        <v xml:space="preserve"> </v>
      </c>
      <c r="E55" s="177"/>
      <c r="F55" s="287">
        <v>0</v>
      </c>
      <c r="G55" s="177">
        <v>37</v>
      </c>
      <c r="H55" s="177">
        <v>37</v>
      </c>
      <c r="I55" s="177"/>
      <c r="J55" s="179"/>
      <c r="K55" s="177"/>
      <c r="L55" s="179"/>
      <c r="M55" s="166"/>
      <c r="N55" s="166"/>
      <c r="O55" s="166"/>
      <c r="P55" s="166"/>
      <c r="Q55" s="167"/>
      <c r="R55" s="167"/>
      <c r="S55" s="168"/>
      <c r="V55" s="144">
        <f t="shared" si="7"/>
        <v>0</v>
      </c>
      <c r="W55" s="144">
        <f t="shared" si="8"/>
        <v>0</v>
      </c>
      <c r="X55" s="144">
        <f t="shared" si="18"/>
        <v>0</v>
      </c>
      <c r="Y55" s="144">
        <f t="shared" si="10"/>
        <v>31.779800000000002</v>
      </c>
      <c r="Z55" s="169">
        <f t="shared" si="1"/>
        <v>0</v>
      </c>
      <c r="AA55" s="274">
        <f t="shared" si="2"/>
        <v>0</v>
      </c>
      <c r="AB55" s="169">
        <f t="shared" si="11"/>
        <v>0</v>
      </c>
      <c r="AC55" s="274">
        <f t="shared" si="3"/>
        <v>0</v>
      </c>
      <c r="AD55" s="169">
        <f t="shared" si="4"/>
        <v>0</v>
      </c>
      <c r="AE55" s="274">
        <f t="shared" si="5"/>
        <v>0</v>
      </c>
      <c r="AF55" s="169">
        <f t="shared" si="12"/>
        <v>0</v>
      </c>
      <c r="AG55" s="274">
        <f t="shared" si="6"/>
        <v>0</v>
      </c>
      <c r="AH55" s="169">
        <f t="shared" si="13"/>
        <v>0</v>
      </c>
      <c r="AI55" s="169"/>
      <c r="AJ55" s="169">
        <f t="shared" si="14"/>
        <v>0</v>
      </c>
      <c r="AK55" s="169">
        <f t="shared" si="15"/>
        <v>0</v>
      </c>
      <c r="AL55" s="169"/>
      <c r="AM55" s="169"/>
      <c r="AN55" s="169"/>
      <c r="AQ55" s="169"/>
      <c r="AW55" s="144">
        <f t="shared" si="16"/>
        <v>0</v>
      </c>
    </row>
    <row r="56" spans="1:49" ht="9.75" thickBot="1">
      <c r="A56" s="175"/>
      <c r="B56" s="176"/>
      <c r="C56" s="176"/>
      <c r="D56" s="170" t="str">
        <f t="shared" si="0"/>
        <v xml:space="preserve"> </v>
      </c>
      <c r="E56" s="178"/>
      <c r="F56" s="288">
        <v>0</v>
      </c>
      <c r="G56" s="178">
        <v>37</v>
      </c>
      <c r="H56" s="178">
        <v>37</v>
      </c>
      <c r="I56" s="178"/>
      <c r="J56" s="180"/>
      <c r="K56" s="178"/>
      <c r="L56" s="180"/>
      <c r="M56" s="180"/>
      <c r="N56" s="178"/>
      <c r="O56" s="178"/>
      <c r="P56" s="178"/>
      <c r="Q56" s="171">
        <f>AS56</f>
        <v>0</v>
      </c>
      <c r="R56" s="171">
        <f>AT56</f>
        <v>0</v>
      </c>
      <c r="S56" s="172">
        <f>AU56</f>
        <v>0</v>
      </c>
      <c r="U56" s="144">
        <f>IF(OR(C55=5,C56=5),0,1)</f>
        <v>1</v>
      </c>
      <c r="V56" s="144">
        <f t="shared" si="7"/>
        <v>0</v>
      </c>
      <c r="W56" s="144">
        <f t="shared" si="8"/>
        <v>0</v>
      </c>
      <c r="X56" s="144">
        <f t="shared" si="18"/>
        <v>0</v>
      </c>
      <c r="Y56" s="144">
        <f t="shared" si="10"/>
        <v>31.779800000000002</v>
      </c>
      <c r="Z56" s="169">
        <f t="shared" si="1"/>
        <v>0</v>
      </c>
      <c r="AA56" s="274">
        <f t="shared" si="2"/>
        <v>0</v>
      </c>
      <c r="AB56" s="169">
        <f t="shared" si="11"/>
        <v>0</v>
      </c>
      <c r="AC56" s="274">
        <f t="shared" si="3"/>
        <v>0</v>
      </c>
      <c r="AD56" s="169">
        <f t="shared" si="4"/>
        <v>0</v>
      </c>
      <c r="AE56" s="274">
        <f t="shared" si="5"/>
        <v>0</v>
      </c>
      <c r="AF56" s="169">
        <f t="shared" si="12"/>
        <v>0</v>
      </c>
      <c r="AG56" s="274">
        <f t="shared" si="6"/>
        <v>0</v>
      </c>
      <c r="AH56" s="169">
        <f t="shared" si="13"/>
        <v>0</v>
      </c>
      <c r="AI56" s="169"/>
      <c r="AJ56" s="169">
        <f t="shared" si="14"/>
        <v>0</v>
      </c>
      <c r="AK56" s="169">
        <f t="shared" si="15"/>
        <v>0</v>
      </c>
      <c r="AL56" s="169"/>
      <c r="AM56" s="169">
        <f>AK55*W55+AK56*W56</f>
        <v>0</v>
      </c>
      <c r="AN56" s="169">
        <f>(SUM(AD55:AG55)*W55+SUM(AD56:AG56)*W56)*12*VLOOKUP(C56,JNovergang,3,1)</f>
        <v>0</v>
      </c>
      <c r="AO56" s="169">
        <f>AM56-AN56</f>
        <v>0</v>
      </c>
      <c r="AP56" s="169">
        <f>M56*(100+X56)%</f>
        <v>0</v>
      </c>
      <c r="AQ56" s="274">
        <f>ROUND(M56*F56,2)</f>
        <v>0</v>
      </c>
      <c r="AS56" s="274">
        <f>ROUND((AP56+AQ56)+AM56*(N56/12),0)</f>
        <v>0</v>
      </c>
      <c r="AT56" s="274">
        <f>ROUND(AM56*(O56/12),0)</f>
        <v>0</v>
      </c>
      <c r="AU56" s="274">
        <f>ROUND(AM56*(P56/12)*U56,0)</f>
        <v>0</v>
      </c>
      <c r="AW56" s="144">
        <f t="shared" si="16"/>
        <v>0</v>
      </c>
    </row>
    <row r="57" spans="1:49">
      <c r="A57" s="173"/>
      <c r="B57" s="174"/>
      <c r="C57" s="174"/>
      <c r="D57" s="165" t="str">
        <f t="shared" si="0"/>
        <v xml:space="preserve"> </v>
      </c>
      <c r="E57" s="177"/>
      <c r="F57" s="287">
        <v>0</v>
      </c>
      <c r="G57" s="177">
        <v>37</v>
      </c>
      <c r="H57" s="177">
        <v>37</v>
      </c>
      <c r="I57" s="177"/>
      <c r="J57" s="179"/>
      <c r="K57" s="177"/>
      <c r="L57" s="179"/>
      <c r="M57" s="166"/>
      <c r="N57" s="166"/>
      <c r="O57" s="166"/>
      <c r="P57" s="166"/>
      <c r="Q57" s="167"/>
      <c r="R57" s="167"/>
      <c r="S57" s="168"/>
      <c r="V57" s="144">
        <f t="shared" si="7"/>
        <v>0</v>
      </c>
      <c r="W57" s="144">
        <f t="shared" si="8"/>
        <v>0</v>
      </c>
      <c r="X57" s="144">
        <f t="shared" si="18"/>
        <v>0</v>
      </c>
      <c r="Y57" s="144">
        <f t="shared" si="10"/>
        <v>31.779800000000002</v>
      </c>
      <c r="Z57" s="169">
        <f t="shared" si="1"/>
        <v>0</v>
      </c>
      <c r="AA57" s="274">
        <f t="shared" si="2"/>
        <v>0</v>
      </c>
      <c r="AB57" s="169">
        <f t="shared" si="11"/>
        <v>0</v>
      </c>
      <c r="AC57" s="274">
        <f t="shared" si="3"/>
        <v>0</v>
      </c>
      <c r="AD57" s="169">
        <f t="shared" si="4"/>
        <v>0</v>
      </c>
      <c r="AE57" s="274">
        <f t="shared" si="5"/>
        <v>0</v>
      </c>
      <c r="AF57" s="169">
        <f t="shared" si="12"/>
        <v>0</v>
      </c>
      <c r="AG57" s="274">
        <f t="shared" si="6"/>
        <v>0</v>
      </c>
      <c r="AH57" s="169">
        <f t="shared" si="13"/>
        <v>0</v>
      </c>
      <c r="AI57" s="169"/>
      <c r="AJ57" s="169">
        <f t="shared" si="14"/>
        <v>0</v>
      </c>
      <c r="AK57" s="169">
        <f t="shared" si="15"/>
        <v>0</v>
      </c>
      <c r="AL57" s="169"/>
      <c r="AM57" s="169"/>
      <c r="AN57" s="169"/>
      <c r="AQ57" s="169"/>
      <c r="AW57" s="144">
        <f t="shared" si="16"/>
        <v>0</v>
      </c>
    </row>
    <row r="58" spans="1:49" ht="9.75" thickBot="1">
      <c r="A58" s="175"/>
      <c r="B58" s="176"/>
      <c r="C58" s="176"/>
      <c r="D58" s="170" t="str">
        <f t="shared" si="0"/>
        <v xml:space="preserve"> </v>
      </c>
      <c r="E58" s="178"/>
      <c r="F58" s="288">
        <v>0</v>
      </c>
      <c r="G58" s="178">
        <v>37</v>
      </c>
      <c r="H58" s="178">
        <v>37</v>
      </c>
      <c r="I58" s="178"/>
      <c r="J58" s="180"/>
      <c r="K58" s="178"/>
      <c r="L58" s="180"/>
      <c r="M58" s="180"/>
      <c r="N58" s="178"/>
      <c r="O58" s="178"/>
      <c r="P58" s="178"/>
      <c r="Q58" s="171">
        <f>AS58</f>
        <v>0</v>
      </c>
      <c r="R58" s="171">
        <f>AT58</f>
        <v>0</v>
      </c>
      <c r="S58" s="172">
        <f>AU58</f>
        <v>0</v>
      </c>
      <c r="U58" s="144">
        <f>IF(OR(C57=5,C58=5),0,1)</f>
        <v>1</v>
      </c>
      <c r="V58" s="144">
        <f t="shared" si="7"/>
        <v>0</v>
      </c>
      <c r="W58" s="144">
        <f t="shared" si="8"/>
        <v>0</v>
      </c>
      <c r="X58" s="144">
        <f t="shared" si="18"/>
        <v>0</v>
      </c>
      <c r="Y58" s="144">
        <f t="shared" si="10"/>
        <v>31.779800000000002</v>
      </c>
      <c r="Z58" s="169">
        <f t="shared" si="1"/>
        <v>0</v>
      </c>
      <c r="AA58" s="274">
        <f t="shared" si="2"/>
        <v>0</v>
      </c>
      <c r="AB58" s="169">
        <f t="shared" si="11"/>
        <v>0</v>
      </c>
      <c r="AC58" s="274">
        <f t="shared" si="3"/>
        <v>0</v>
      </c>
      <c r="AD58" s="169">
        <f t="shared" si="4"/>
        <v>0</v>
      </c>
      <c r="AE58" s="274">
        <f t="shared" si="5"/>
        <v>0</v>
      </c>
      <c r="AF58" s="169">
        <f t="shared" si="12"/>
        <v>0</v>
      </c>
      <c r="AG58" s="274">
        <f t="shared" si="6"/>
        <v>0</v>
      </c>
      <c r="AH58" s="169">
        <f t="shared" si="13"/>
        <v>0</v>
      </c>
      <c r="AI58" s="169"/>
      <c r="AJ58" s="169">
        <f t="shared" si="14"/>
        <v>0</v>
      </c>
      <c r="AK58" s="169">
        <f t="shared" si="15"/>
        <v>0</v>
      </c>
      <c r="AL58" s="169"/>
      <c r="AM58" s="169">
        <f>AK57*W57+AK58*W58</f>
        <v>0</v>
      </c>
      <c r="AN58" s="169">
        <f>(SUM(AD57:AG57)*W57+SUM(AD58:AG58)*W58)*12*VLOOKUP(C58,JNovergang,3,1)</f>
        <v>0</v>
      </c>
      <c r="AO58" s="169">
        <f>AM58-AN58</f>
        <v>0</v>
      </c>
      <c r="AP58" s="169">
        <f>M58*(100+X58)%</f>
        <v>0</v>
      </c>
      <c r="AQ58" s="274">
        <f>ROUND(M58*F58,2)</f>
        <v>0</v>
      </c>
      <c r="AS58" s="274">
        <f>ROUND((AP58+AQ58)+AM58*(N58/12),0)</f>
        <v>0</v>
      </c>
      <c r="AT58" s="274">
        <f>ROUND(AM58*(O58/12),0)</f>
        <v>0</v>
      </c>
      <c r="AU58" s="274">
        <f>ROUND(AM58*(P58/12)*U58,0)</f>
        <v>0</v>
      </c>
      <c r="AW58" s="144">
        <f t="shared" si="16"/>
        <v>0</v>
      </c>
    </row>
    <row r="59" spans="1:49">
      <c r="A59" s="173"/>
      <c r="B59" s="174"/>
      <c r="C59" s="174"/>
      <c r="D59" s="165" t="str">
        <f t="shared" si="0"/>
        <v xml:space="preserve"> </v>
      </c>
      <c r="E59" s="177"/>
      <c r="F59" s="287">
        <v>0</v>
      </c>
      <c r="G59" s="177">
        <v>37</v>
      </c>
      <c r="H59" s="177">
        <v>37</v>
      </c>
      <c r="I59" s="177"/>
      <c r="J59" s="179"/>
      <c r="K59" s="177"/>
      <c r="L59" s="179"/>
      <c r="M59" s="166"/>
      <c r="N59" s="166"/>
      <c r="O59" s="166"/>
      <c r="P59" s="166"/>
      <c r="Q59" s="167"/>
      <c r="R59" s="167"/>
      <c r="S59" s="168"/>
      <c r="V59" s="144">
        <f t="shared" si="7"/>
        <v>0</v>
      </c>
      <c r="W59" s="144">
        <f t="shared" si="8"/>
        <v>0</v>
      </c>
      <c r="X59" s="144">
        <f t="shared" si="18"/>
        <v>0</v>
      </c>
      <c r="Y59" s="144">
        <f t="shared" si="10"/>
        <v>31.779800000000002</v>
      </c>
      <c r="Z59" s="169">
        <f t="shared" si="1"/>
        <v>0</v>
      </c>
      <c r="AA59" s="274">
        <f t="shared" si="2"/>
        <v>0</v>
      </c>
      <c r="AB59" s="169">
        <f t="shared" si="11"/>
        <v>0</v>
      </c>
      <c r="AC59" s="274">
        <f t="shared" si="3"/>
        <v>0</v>
      </c>
      <c r="AD59" s="169">
        <f t="shared" si="4"/>
        <v>0</v>
      </c>
      <c r="AE59" s="274">
        <f t="shared" si="5"/>
        <v>0</v>
      </c>
      <c r="AF59" s="169">
        <f t="shared" si="12"/>
        <v>0</v>
      </c>
      <c r="AG59" s="274">
        <f t="shared" si="6"/>
        <v>0</v>
      </c>
      <c r="AH59" s="169">
        <f t="shared" si="13"/>
        <v>0</v>
      </c>
      <c r="AI59" s="169"/>
      <c r="AJ59" s="169">
        <f t="shared" si="14"/>
        <v>0</v>
      </c>
      <c r="AK59" s="169">
        <f t="shared" si="15"/>
        <v>0</v>
      </c>
      <c r="AL59" s="169"/>
      <c r="AM59" s="169"/>
      <c r="AN59" s="169"/>
      <c r="AQ59" s="169"/>
      <c r="AW59" s="144">
        <f t="shared" si="16"/>
        <v>0</v>
      </c>
    </row>
    <row r="60" spans="1:49" ht="9.75" thickBot="1">
      <c r="A60" s="175"/>
      <c r="B60" s="176"/>
      <c r="C60" s="176"/>
      <c r="D60" s="170" t="str">
        <f t="shared" si="0"/>
        <v xml:space="preserve"> </v>
      </c>
      <c r="E60" s="178"/>
      <c r="F60" s="288">
        <v>0</v>
      </c>
      <c r="G60" s="178">
        <v>37</v>
      </c>
      <c r="H60" s="178">
        <v>37</v>
      </c>
      <c r="I60" s="178"/>
      <c r="J60" s="180"/>
      <c r="K60" s="178"/>
      <c r="L60" s="180"/>
      <c r="M60" s="180"/>
      <c r="N60" s="178"/>
      <c r="O60" s="178"/>
      <c r="P60" s="178"/>
      <c r="Q60" s="171">
        <f>AS60</f>
        <v>0</v>
      </c>
      <c r="R60" s="171">
        <f>AT60</f>
        <v>0</v>
      </c>
      <c r="S60" s="172">
        <f>AU60</f>
        <v>0</v>
      </c>
      <c r="U60" s="144">
        <f>IF(OR(C59=5,C60=5),0,1)</f>
        <v>1</v>
      </c>
      <c r="V60" s="144">
        <f t="shared" si="7"/>
        <v>0</v>
      </c>
      <c r="W60" s="144">
        <f t="shared" si="8"/>
        <v>0</v>
      </c>
      <c r="X60" s="144">
        <f t="shared" si="18"/>
        <v>0</v>
      </c>
      <c r="Y60" s="144">
        <f t="shared" si="10"/>
        <v>31.779800000000002</v>
      </c>
      <c r="Z60" s="169">
        <f t="shared" si="1"/>
        <v>0</v>
      </c>
      <c r="AA60" s="274">
        <f t="shared" si="2"/>
        <v>0</v>
      </c>
      <c r="AB60" s="169">
        <f t="shared" si="11"/>
        <v>0</v>
      </c>
      <c r="AC60" s="274">
        <f t="shared" si="3"/>
        <v>0</v>
      </c>
      <c r="AD60" s="169">
        <f t="shared" si="4"/>
        <v>0</v>
      </c>
      <c r="AE60" s="274">
        <f t="shared" si="5"/>
        <v>0</v>
      </c>
      <c r="AF60" s="169">
        <f t="shared" si="12"/>
        <v>0</v>
      </c>
      <c r="AG60" s="274">
        <f t="shared" si="6"/>
        <v>0</v>
      </c>
      <c r="AH60" s="169">
        <f t="shared" si="13"/>
        <v>0</v>
      </c>
      <c r="AI60" s="169"/>
      <c r="AJ60" s="169">
        <f t="shared" si="14"/>
        <v>0</v>
      </c>
      <c r="AK60" s="169">
        <f t="shared" si="15"/>
        <v>0</v>
      </c>
      <c r="AL60" s="169"/>
      <c r="AM60" s="169">
        <f>AK59*W59+AK60*W60</f>
        <v>0</v>
      </c>
      <c r="AN60" s="169">
        <f>(SUM(AD59:AG59)*W59+SUM(AD60:AG60)*W60)*12*VLOOKUP(C60,JNovergang,3,1)</f>
        <v>0</v>
      </c>
      <c r="AO60" s="169">
        <f>AM60-AN60</f>
        <v>0</v>
      </c>
      <c r="AP60" s="169">
        <f>M60*(100+X60)%</f>
        <v>0</v>
      </c>
      <c r="AQ60" s="274">
        <f>ROUND(M60*F60,2)</f>
        <v>0</v>
      </c>
      <c r="AS60" s="274">
        <f>ROUND((AP60+AQ60)+AM60*(N60/12),0)</f>
        <v>0</v>
      </c>
      <c r="AT60" s="274">
        <f>ROUND(AM60*(O60/12),0)</f>
        <v>0</v>
      </c>
      <c r="AU60" s="274">
        <f>ROUND(AM60*(P60/12)*U60,0)</f>
        <v>0</v>
      </c>
      <c r="AW60" s="144">
        <f t="shared" si="16"/>
        <v>0</v>
      </c>
    </row>
    <row r="61" spans="1:49">
      <c r="A61" s="173"/>
      <c r="B61" s="174"/>
      <c r="C61" s="174"/>
      <c r="D61" s="165" t="str">
        <f t="shared" si="0"/>
        <v xml:space="preserve"> </v>
      </c>
      <c r="E61" s="177"/>
      <c r="F61" s="287">
        <v>0</v>
      </c>
      <c r="G61" s="177">
        <v>37</v>
      </c>
      <c r="H61" s="177">
        <v>37</v>
      </c>
      <c r="I61" s="177"/>
      <c r="J61" s="179"/>
      <c r="K61" s="177"/>
      <c r="L61" s="179"/>
      <c r="M61" s="166"/>
      <c r="N61" s="166"/>
      <c r="O61" s="166"/>
      <c r="P61" s="166"/>
      <c r="Q61" s="167"/>
      <c r="R61" s="167"/>
      <c r="S61" s="168"/>
      <c r="V61" s="144">
        <f t="shared" si="7"/>
        <v>0</v>
      </c>
      <c r="W61" s="144">
        <f t="shared" si="8"/>
        <v>0</v>
      </c>
      <c r="X61" s="144">
        <f t="shared" si="18"/>
        <v>0</v>
      </c>
      <c r="Y61" s="144">
        <f t="shared" si="10"/>
        <v>31.779800000000002</v>
      </c>
      <c r="Z61" s="169">
        <f t="shared" si="1"/>
        <v>0</v>
      </c>
      <c r="AA61" s="274">
        <f t="shared" si="2"/>
        <v>0</v>
      </c>
      <c r="AB61" s="169">
        <f t="shared" si="11"/>
        <v>0</v>
      </c>
      <c r="AC61" s="274">
        <f t="shared" si="3"/>
        <v>0</v>
      </c>
      <c r="AD61" s="169">
        <f t="shared" si="4"/>
        <v>0</v>
      </c>
      <c r="AE61" s="274">
        <f t="shared" si="5"/>
        <v>0</v>
      </c>
      <c r="AF61" s="169">
        <f t="shared" si="12"/>
        <v>0</v>
      </c>
      <c r="AG61" s="274">
        <f t="shared" si="6"/>
        <v>0</v>
      </c>
      <c r="AH61" s="169">
        <f t="shared" si="13"/>
        <v>0</v>
      </c>
      <c r="AI61" s="169"/>
      <c r="AJ61" s="169">
        <f t="shared" si="14"/>
        <v>0</v>
      </c>
      <c r="AK61" s="169">
        <f t="shared" si="15"/>
        <v>0</v>
      </c>
      <c r="AL61" s="169"/>
      <c r="AM61" s="169"/>
      <c r="AN61" s="169"/>
      <c r="AQ61" s="169"/>
      <c r="AW61" s="144">
        <f t="shared" si="16"/>
        <v>0</v>
      </c>
    </row>
    <row r="62" spans="1:49" ht="9.75" thickBot="1">
      <c r="A62" s="175"/>
      <c r="B62" s="176"/>
      <c r="C62" s="176"/>
      <c r="D62" s="170" t="str">
        <f t="shared" si="0"/>
        <v xml:space="preserve"> </v>
      </c>
      <c r="E62" s="178"/>
      <c r="F62" s="288">
        <v>0</v>
      </c>
      <c r="G62" s="178">
        <v>37</v>
      </c>
      <c r="H62" s="178">
        <v>37</v>
      </c>
      <c r="I62" s="178"/>
      <c r="J62" s="180"/>
      <c r="K62" s="178"/>
      <c r="L62" s="180"/>
      <c r="M62" s="180"/>
      <c r="N62" s="178"/>
      <c r="O62" s="178"/>
      <c r="P62" s="178"/>
      <c r="Q62" s="171">
        <f>AS62</f>
        <v>0</v>
      </c>
      <c r="R62" s="171">
        <f>AT62</f>
        <v>0</v>
      </c>
      <c r="S62" s="172">
        <f>AU62</f>
        <v>0</v>
      </c>
      <c r="U62" s="144">
        <f>IF(OR(C61=5,C62=5),0,1)</f>
        <v>1</v>
      </c>
      <c r="V62" s="144">
        <f t="shared" si="7"/>
        <v>0</v>
      </c>
      <c r="W62" s="144">
        <f t="shared" si="8"/>
        <v>0</v>
      </c>
      <c r="X62" s="144">
        <f t="shared" si="18"/>
        <v>0</v>
      </c>
      <c r="Y62" s="144">
        <f t="shared" si="10"/>
        <v>31.779800000000002</v>
      </c>
      <c r="Z62" s="169">
        <f t="shared" si="1"/>
        <v>0</v>
      </c>
      <c r="AA62" s="274">
        <f t="shared" si="2"/>
        <v>0</v>
      </c>
      <c r="AB62" s="169">
        <f t="shared" si="11"/>
        <v>0</v>
      </c>
      <c r="AC62" s="274">
        <f t="shared" si="3"/>
        <v>0</v>
      </c>
      <c r="AD62" s="169">
        <f t="shared" si="4"/>
        <v>0</v>
      </c>
      <c r="AE62" s="274">
        <f t="shared" si="5"/>
        <v>0</v>
      </c>
      <c r="AF62" s="169">
        <f t="shared" si="12"/>
        <v>0</v>
      </c>
      <c r="AG62" s="274">
        <f t="shared" si="6"/>
        <v>0</v>
      </c>
      <c r="AH62" s="169">
        <f t="shared" si="13"/>
        <v>0</v>
      </c>
      <c r="AI62" s="169"/>
      <c r="AJ62" s="169">
        <f t="shared" si="14"/>
        <v>0</v>
      </c>
      <c r="AK62" s="169">
        <f t="shared" si="15"/>
        <v>0</v>
      </c>
      <c r="AL62" s="169"/>
      <c r="AM62" s="169">
        <f>AK61*W61+AK62*W62</f>
        <v>0</v>
      </c>
      <c r="AN62" s="169">
        <f>(SUM(AD61:AG61)*W61+SUM(AD62:AG62)*W62)*12*VLOOKUP(C62,JNovergang,3,1)</f>
        <v>0</v>
      </c>
      <c r="AO62" s="169">
        <f>AM62-AN62</f>
        <v>0</v>
      </c>
      <c r="AP62" s="169">
        <f>M62*(100+X62)%</f>
        <v>0</v>
      </c>
      <c r="AQ62" s="274">
        <f>ROUND(M62*F62,2)</f>
        <v>0</v>
      </c>
      <c r="AS62" s="274">
        <f>ROUND((AP62+AQ62)+AM62*(N62/12),0)</f>
        <v>0</v>
      </c>
      <c r="AT62" s="274">
        <f>ROUND(AM62*(O62/12),0)</f>
        <v>0</v>
      </c>
      <c r="AU62" s="274">
        <f>ROUND(AM62*(P62/12)*U62,0)</f>
        <v>0</v>
      </c>
      <c r="AW62" s="144">
        <f t="shared" si="16"/>
        <v>0</v>
      </c>
    </row>
    <row r="63" spans="1:49">
      <c r="A63" s="173"/>
      <c r="B63" s="174"/>
      <c r="C63" s="174"/>
      <c r="D63" s="165" t="str">
        <f t="shared" si="0"/>
        <v xml:space="preserve"> </v>
      </c>
      <c r="E63" s="177"/>
      <c r="F63" s="287">
        <v>0</v>
      </c>
      <c r="G63" s="177">
        <v>37</v>
      </c>
      <c r="H63" s="177">
        <v>37</v>
      </c>
      <c r="I63" s="177"/>
      <c r="J63" s="179"/>
      <c r="K63" s="177"/>
      <c r="L63" s="179"/>
      <c r="M63" s="166"/>
      <c r="N63" s="166"/>
      <c r="O63" s="166"/>
      <c r="P63" s="166"/>
      <c r="Q63" s="167"/>
      <c r="R63" s="167"/>
      <c r="S63" s="168"/>
      <c r="V63" s="144">
        <f t="shared" si="7"/>
        <v>0</v>
      </c>
      <c r="W63" s="144">
        <f t="shared" si="8"/>
        <v>0</v>
      </c>
      <c r="X63" s="144">
        <f t="shared" si="18"/>
        <v>0</v>
      </c>
      <c r="Y63" s="144">
        <f t="shared" si="10"/>
        <v>31.779800000000002</v>
      </c>
      <c r="Z63" s="169">
        <f t="shared" si="1"/>
        <v>0</v>
      </c>
      <c r="AA63" s="274">
        <f t="shared" si="2"/>
        <v>0</v>
      </c>
      <c r="AB63" s="169">
        <f t="shared" si="11"/>
        <v>0</v>
      </c>
      <c r="AC63" s="274">
        <f t="shared" si="3"/>
        <v>0</v>
      </c>
      <c r="AD63" s="169">
        <f t="shared" si="4"/>
        <v>0</v>
      </c>
      <c r="AE63" s="274">
        <f t="shared" si="5"/>
        <v>0</v>
      </c>
      <c r="AF63" s="169">
        <f t="shared" si="12"/>
        <v>0</v>
      </c>
      <c r="AG63" s="274">
        <f t="shared" si="6"/>
        <v>0</v>
      </c>
      <c r="AH63" s="169">
        <f t="shared" si="13"/>
        <v>0</v>
      </c>
      <c r="AI63" s="169"/>
      <c r="AJ63" s="169">
        <f t="shared" si="14"/>
        <v>0</v>
      </c>
      <c r="AK63" s="169">
        <f t="shared" si="15"/>
        <v>0</v>
      </c>
      <c r="AL63" s="169"/>
      <c r="AM63" s="169"/>
      <c r="AN63" s="169"/>
      <c r="AQ63" s="169"/>
      <c r="AW63" s="144">
        <f t="shared" si="16"/>
        <v>0</v>
      </c>
    </row>
    <row r="64" spans="1:49" ht="9.75" thickBot="1">
      <c r="A64" s="175"/>
      <c r="B64" s="176"/>
      <c r="C64" s="176"/>
      <c r="D64" s="170" t="str">
        <f t="shared" si="0"/>
        <v xml:space="preserve"> </v>
      </c>
      <c r="E64" s="178"/>
      <c r="F64" s="288">
        <v>0</v>
      </c>
      <c r="G64" s="178">
        <v>37</v>
      </c>
      <c r="H64" s="178">
        <v>37</v>
      </c>
      <c r="I64" s="178"/>
      <c r="J64" s="180"/>
      <c r="K64" s="178"/>
      <c r="L64" s="180"/>
      <c r="M64" s="180"/>
      <c r="N64" s="178"/>
      <c r="O64" s="178"/>
      <c r="P64" s="178"/>
      <c r="Q64" s="171">
        <f>AS64</f>
        <v>0</v>
      </c>
      <c r="R64" s="171">
        <f>AT64</f>
        <v>0</v>
      </c>
      <c r="S64" s="172">
        <f>AU64</f>
        <v>0</v>
      </c>
      <c r="U64" s="144">
        <f>IF(OR(C63=5,C64=5),0,1)</f>
        <v>1</v>
      </c>
      <c r="V64" s="144">
        <f t="shared" si="7"/>
        <v>0</v>
      </c>
      <c r="W64" s="144">
        <f t="shared" si="8"/>
        <v>0</v>
      </c>
      <c r="X64" s="144">
        <f t="shared" si="18"/>
        <v>0</v>
      </c>
      <c r="Y64" s="144">
        <f t="shared" si="10"/>
        <v>31.779800000000002</v>
      </c>
      <c r="Z64" s="169">
        <f t="shared" si="1"/>
        <v>0</v>
      </c>
      <c r="AA64" s="274">
        <f t="shared" si="2"/>
        <v>0</v>
      </c>
      <c r="AB64" s="169">
        <f t="shared" si="11"/>
        <v>0</v>
      </c>
      <c r="AC64" s="274">
        <f t="shared" si="3"/>
        <v>0</v>
      </c>
      <c r="AD64" s="169">
        <f t="shared" si="4"/>
        <v>0</v>
      </c>
      <c r="AE64" s="274">
        <f t="shared" si="5"/>
        <v>0</v>
      </c>
      <c r="AF64" s="169">
        <f t="shared" si="12"/>
        <v>0</v>
      </c>
      <c r="AG64" s="274">
        <f t="shared" si="6"/>
        <v>0</v>
      </c>
      <c r="AH64" s="169">
        <f t="shared" si="13"/>
        <v>0</v>
      </c>
      <c r="AI64" s="169"/>
      <c r="AJ64" s="169">
        <f t="shared" si="14"/>
        <v>0</v>
      </c>
      <c r="AK64" s="169">
        <f t="shared" si="15"/>
        <v>0</v>
      </c>
      <c r="AL64" s="169"/>
      <c r="AM64" s="169">
        <f>AK63*W63+AK64*W64</f>
        <v>0</v>
      </c>
      <c r="AN64" s="169">
        <f>(SUM(AD63:AG63)*W63+SUM(AD64:AG64)*W64)*12*VLOOKUP(C64,JNovergang,3,1)</f>
        <v>0</v>
      </c>
      <c r="AO64" s="169">
        <f>AM64-AN64</f>
        <v>0</v>
      </c>
      <c r="AP64" s="169">
        <f>M64*(100+X64)%</f>
        <v>0</v>
      </c>
      <c r="AQ64" s="274">
        <f>ROUND(M64*F64,2)</f>
        <v>0</v>
      </c>
      <c r="AS64" s="274">
        <f>ROUND((AP64+AQ64)+AM64*(N64/12),0)</f>
        <v>0</v>
      </c>
      <c r="AT64" s="274">
        <f>ROUND(AM64*(O64/12),0)</f>
        <v>0</v>
      </c>
      <c r="AU64" s="274">
        <f>ROUND(AM64*(P64/12)*U64,0)</f>
        <v>0</v>
      </c>
      <c r="AW64" s="144">
        <f t="shared" si="16"/>
        <v>0</v>
      </c>
    </row>
    <row r="65" spans="1:49">
      <c r="A65" s="173"/>
      <c r="B65" s="174"/>
      <c r="C65" s="174"/>
      <c r="D65" s="165" t="str">
        <f t="shared" si="0"/>
        <v xml:space="preserve"> </v>
      </c>
      <c r="E65" s="177"/>
      <c r="F65" s="287">
        <v>0</v>
      </c>
      <c r="G65" s="177">
        <v>37</v>
      </c>
      <c r="H65" s="177">
        <v>37</v>
      </c>
      <c r="I65" s="177"/>
      <c r="J65" s="179"/>
      <c r="K65" s="177"/>
      <c r="L65" s="179"/>
      <c r="M65" s="166"/>
      <c r="N65" s="166"/>
      <c r="O65" s="166"/>
      <c r="P65" s="166"/>
      <c r="Q65" s="167"/>
      <c r="R65" s="167"/>
      <c r="S65" s="168"/>
      <c r="V65" s="144">
        <f t="shared" si="7"/>
        <v>0</v>
      </c>
      <c r="W65" s="144">
        <f t="shared" si="8"/>
        <v>0</v>
      </c>
      <c r="X65" s="144">
        <f t="shared" si="18"/>
        <v>0</v>
      </c>
      <c r="Y65" s="144">
        <f t="shared" si="10"/>
        <v>31.779800000000002</v>
      </c>
      <c r="Z65" s="169">
        <f t="shared" si="1"/>
        <v>0</v>
      </c>
      <c r="AA65" s="274">
        <f t="shared" si="2"/>
        <v>0</v>
      </c>
      <c r="AB65" s="169">
        <f t="shared" si="11"/>
        <v>0</v>
      </c>
      <c r="AC65" s="274">
        <f t="shared" si="3"/>
        <v>0</v>
      </c>
      <c r="AD65" s="169">
        <f t="shared" si="4"/>
        <v>0</v>
      </c>
      <c r="AE65" s="274">
        <f t="shared" si="5"/>
        <v>0</v>
      </c>
      <c r="AF65" s="169">
        <f t="shared" si="12"/>
        <v>0</v>
      </c>
      <c r="AG65" s="274">
        <f t="shared" si="6"/>
        <v>0</v>
      </c>
      <c r="AH65" s="169">
        <f t="shared" si="13"/>
        <v>0</v>
      </c>
      <c r="AI65" s="169"/>
      <c r="AJ65" s="169">
        <f t="shared" si="14"/>
        <v>0</v>
      </c>
      <c r="AK65" s="169">
        <f t="shared" si="15"/>
        <v>0</v>
      </c>
      <c r="AL65" s="169"/>
      <c r="AM65" s="169"/>
      <c r="AN65" s="169"/>
      <c r="AQ65" s="169"/>
      <c r="AW65" s="144">
        <f t="shared" si="16"/>
        <v>0</v>
      </c>
    </row>
    <row r="66" spans="1:49" ht="9.75" thickBot="1">
      <c r="A66" s="175"/>
      <c r="B66" s="176"/>
      <c r="C66" s="176"/>
      <c r="D66" s="170" t="str">
        <f t="shared" si="0"/>
        <v xml:space="preserve"> </v>
      </c>
      <c r="E66" s="178"/>
      <c r="F66" s="288">
        <v>0</v>
      </c>
      <c r="G66" s="178">
        <v>37</v>
      </c>
      <c r="H66" s="178">
        <v>37</v>
      </c>
      <c r="I66" s="178"/>
      <c r="J66" s="180"/>
      <c r="K66" s="178"/>
      <c r="L66" s="180"/>
      <c r="M66" s="180"/>
      <c r="N66" s="178"/>
      <c r="O66" s="178"/>
      <c r="P66" s="178"/>
      <c r="Q66" s="171">
        <f>AS66</f>
        <v>0</v>
      </c>
      <c r="R66" s="171">
        <f>AT66</f>
        <v>0</v>
      </c>
      <c r="S66" s="172">
        <f>AU66</f>
        <v>0</v>
      </c>
      <c r="U66" s="144">
        <f>IF(OR(C65=5,C66=5),0,1)</f>
        <v>1</v>
      </c>
      <c r="V66" s="144">
        <f t="shared" si="7"/>
        <v>0</v>
      </c>
      <c r="W66" s="144">
        <f t="shared" si="8"/>
        <v>0</v>
      </c>
      <c r="X66" s="144">
        <f t="shared" si="18"/>
        <v>0</v>
      </c>
      <c r="Y66" s="144">
        <f t="shared" si="10"/>
        <v>31.779800000000002</v>
      </c>
      <c r="Z66" s="169">
        <f t="shared" si="1"/>
        <v>0</v>
      </c>
      <c r="AA66" s="274">
        <f t="shared" si="2"/>
        <v>0</v>
      </c>
      <c r="AB66" s="169">
        <f t="shared" si="11"/>
        <v>0</v>
      </c>
      <c r="AC66" s="274">
        <f t="shared" si="3"/>
        <v>0</v>
      </c>
      <c r="AD66" s="169">
        <f t="shared" si="4"/>
        <v>0</v>
      </c>
      <c r="AE66" s="274">
        <f t="shared" si="5"/>
        <v>0</v>
      </c>
      <c r="AF66" s="169">
        <f t="shared" si="12"/>
        <v>0</v>
      </c>
      <c r="AG66" s="274">
        <f t="shared" si="6"/>
        <v>0</v>
      </c>
      <c r="AH66" s="169">
        <f t="shared" si="13"/>
        <v>0</v>
      </c>
      <c r="AI66" s="169"/>
      <c r="AJ66" s="169">
        <f t="shared" si="14"/>
        <v>0</v>
      </c>
      <c r="AK66" s="169">
        <f t="shared" si="15"/>
        <v>0</v>
      </c>
      <c r="AL66" s="169"/>
      <c r="AM66" s="169">
        <f>AK65*W65+AK66*W66</f>
        <v>0</v>
      </c>
      <c r="AN66" s="169">
        <f>(SUM(AD65:AG65)*W65+SUM(AD66:AG66)*W66)*12*VLOOKUP(C66,JNovergang,3,1)</f>
        <v>0</v>
      </c>
      <c r="AO66" s="169">
        <f>AM66-AN66</f>
        <v>0</v>
      </c>
      <c r="AP66" s="169">
        <f>M66*(100+X66)%</f>
        <v>0</v>
      </c>
      <c r="AQ66" s="274">
        <f>ROUND(M66*F66,2)</f>
        <v>0</v>
      </c>
      <c r="AS66" s="274">
        <f>ROUND((AP66+AQ66)+AM66*(N66/12),0)</f>
        <v>0</v>
      </c>
      <c r="AT66" s="274">
        <f>ROUND(AM66*(O66/12),0)</f>
        <v>0</v>
      </c>
      <c r="AU66" s="274">
        <f>ROUND(AM66*(P66/12)*U66,0)</f>
        <v>0</v>
      </c>
      <c r="AW66" s="144">
        <f t="shared" si="16"/>
        <v>0</v>
      </c>
    </row>
    <row r="67" spans="1:49">
      <c r="A67" s="173"/>
      <c r="B67" s="174"/>
      <c r="C67" s="174"/>
      <c r="D67" s="165" t="str">
        <f t="shared" si="0"/>
        <v xml:space="preserve"> </v>
      </c>
      <c r="E67" s="177"/>
      <c r="F67" s="287">
        <v>0</v>
      </c>
      <c r="G67" s="177">
        <v>37</v>
      </c>
      <c r="H67" s="177">
        <v>37</v>
      </c>
      <c r="I67" s="177"/>
      <c r="J67" s="179"/>
      <c r="K67" s="177"/>
      <c r="L67" s="179"/>
      <c r="M67" s="166"/>
      <c r="N67" s="166"/>
      <c r="O67" s="166"/>
      <c r="P67" s="166"/>
      <c r="Q67" s="167"/>
      <c r="R67" s="167"/>
      <c r="S67" s="168"/>
      <c r="V67" s="144">
        <f t="shared" si="7"/>
        <v>0</v>
      </c>
      <c r="W67" s="144">
        <f t="shared" si="8"/>
        <v>0</v>
      </c>
      <c r="X67" s="144">
        <f t="shared" si="18"/>
        <v>0</v>
      </c>
      <c r="Y67" s="144">
        <f t="shared" si="10"/>
        <v>31.779800000000002</v>
      </c>
      <c r="Z67" s="169">
        <f t="shared" si="1"/>
        <v>0</v>
      </c>
      <c r="AA67" s="274">
        <f t="shared" si="2"/>
        <v>0</v>
      </c>
      <c r="AB67" s="169">
        <f t="shared" si="11"/>
        <v>0</v>
      </c>
      <c r="AC67" s="274">
        <f t="shared" si="3"/>
        <v>0</v>
      </c>
      <c r="AD67" s="169">
        <f t="shared" si="4"/>
        <v>0</v>
      </c>
      <c r="AE67" s="274">
        <f t="shared" si="5"/>
        <v>0</v>
      </c>
      <c r="AF67" s="169">
        <f t="shared" si="12"/>
        <v>0</v>
      </c>
      <c r="AG67" s="274">
        <f t="shared" si="6"/>
        <v>0</v>
      </c>
      <c r="AH67" s="169">
        <f t="shared" si="13"/>
        <v>0</v>
      </c>
      <c r="AI67" s="169"/>
      <c r="AJ67" s="169">
        <f t="shared" si="14"/>
        <v>0</v>
      </c>
      <c r="AK67" s="169">
        <f t="shared" si="15"/>
        <v>0</v>
      </c>
      <c r="AL67" s="169"/>
      <c r="AM67" s="169"/>
      <c r="AN67" s="169"/>
      <c r="AQ67" s="169"/>
      <c r="AW67" s="144">
        <f t="shared" si="16"/>
        <v>0</v>
      </c>
    </row>
    <row r="68" spans="1:49" ht="9.75" thickBot="1">
      <c r="A68" s="175"/>
      <c r="B68" s="176"/>
      <c r="C68" s="176"/>
      <c r="D68" s="170" t="str">
        <f t="shared" si="0"/>
        <v xml:space="preserve"> </v>
      </c>
      <c r="E68" s="178"/>
      <c r="F68" s="288">
        <v>0</v>
      </c>
      <c r="G68" s="178">
        <v>37</v>
      </c>
      <c r="H68" s="178">
        <v>37</v>
      </c>
      <c r="I68" s="178"/>
      <c r="J68" s="180"/>
      <c r="K68" s="178"/>
      <c r="L68" s="180"/>
      <c r="M68" s="180"/>
      <c r="N68" s="178"/>
      <c r="O68" s="178"/>
      <c r="P68" s="178"/>
      <c r="Q68" s="171">
        <f>AS68</f>
        <v>0</v>
      </c>
      <c r="R68" s="171">
        <f>AT68</f>
        <v>0</v>
      </c>
      <c r="S68" s="172">
        <f>AU68</f>
        <v>0</v>
      </c>
      <c r="U68" s="144">
        <f>IF(OR(C67=5,C68=5),0,1)</f>
        <v>1</v>
      </c>
      <c r="V68" s="144">
        <f t="shared" si="7"/>
        <v>0</v>
      </c>
      <c r="W68" s="144">
        <f t="shared" si="8"/>
        <v>0</v>
      </c>
      <c r="X68" s="144">
        <f t="shared" si="18"/>
        <v>0</v>
      </c>
      <c r="Y68" s="144">
        <f t="shared" si="10"/>
        <v>31.779800000000002</v>
      </c>
      <c r="Z68" s="169">
        <f t="shared" si="1"/>
        <v>0</v>
      </c>
      <c r="AA68" s="274">
        <f t="shared" si="2"/>
        <v>0</v>
      </c>
      <c r="AB68" s="169">
        <f t="shared" si="11"/>
        <v>0</v>
      </c>
      <c r="AC68" s="274">
        <f t="shared" si="3"/>
        <v>0</v>
      </c>
      <c r="AD68" s="169">
        <f t="shared" si="4"/>
        <v>0</v>
      </c>
      <c r="AE68" s="274">
        <f t="shared" si="5"/>
        <v>0</v>
      </c>
      <c r="AF68" s="169">
        <f t="shared" si="12"/>
        <v>0</v>
      </c>
      <c r="AG68" s="274">
        <f t="shared" si="6"/>
        <v>0</v>
      </c>
      <c r="AH68" s="169">
        <f t="shared" si="13"/>
        <v>0</v>
      </c>
      <c r="AI68" s="169"/>
      <c r="AJ68" s="169">
        <f t="shared" si="14"/>
        <v>0</v>
      </c>
      <c r="AK68" s="169">
        <f t="shared" si="15"/>
        <v>0</v>
      </c>
      <c r="AL68" s="169"/>
      <c r="AM68" s="169">
        <f>AK67*W67+AK68*W68</f>
        <v>0</v>
      </c>
      <c r="AN68" s="169">
        <f>(SUM(AD67:AG67)*W67+SUM(AD68:AG68)*W68)*12*VLOOKUP(C68,JNovergang,3,1)</f>
        <v>0</v>
      </c>
      <c r="AO68" s="169">
        <f>AM68-AN68</f>
        <v>0</v>
      </c>
      <c r="AP68" s="169">
        <f>M68*(100+X68)%</f>
        <v>0</v>
      </c>
      <c r="AQ68" s="274">
        <f>ROUND(M68*F68,2)</f>
        <v>0</v>
      </c>
      <c r="AS68" s="274">
        <f>ROUND((AP68+AQ68)+AM68*(N68/12),0)</f>
        <v>0</v>
      </c>
      <c r="AT68" s="274">
        <f>ROUND(AM68*(O68/12),0)</f>
        <v>0</v>
      </c>
      <c r="AU68" s="274">
        <f>ROUND(AM68*(P68/12)*U68,0)</f>
        <v>0</v>
      </c>
      <c r="AW68" s="144">
        <f t="shared" si="16"/>
        <v>0</v>
      </c>
    </row>
    <row r="69" spans="1:49">
      <c r="A69" s="173"/>
      <c r="B69" s="174"/>
      <c r="C69" s="174"/>
      <c r="D69" s="165" t="str">
        <f t="shared" si="0"/>
        <v xml:space="preserve"> </v>
      </c>
      <c r="E69" s="177"/>
      <c r="F69" s="287">
        <v>0</v>
      </c>
      <c r="G69" s="177">
        <v>37</v>
      </c>
      <c r="H69" s="177">
        <v>37</v>
      </c>
      <c r="I69" s="177"/>
      <c r="J69" s="179"/>
      <c r="K69" s="177"/>
      <c r="L69" s="179"/>
      <c r="M69" s="166"/>
      <c r="N69" s="166"/>
      <c r="O69" s="166"/>
      <c r="P69" s="166"/>
      <c r="Q69" s="167"/>
      <c r="R69" s="167"/>
      <c r="S69" s="168"/>
      <c r="V69" s="144">
        <f t="shared" si="7"/>
        <v>0</v>
      </c>
      <c r="W69" s="144">
        <f t="shared" si="8"/>
        <v>0</v>
      </c>
      <c r="X69" s="144">
        <f t="shared" si="18"/>
        <v>0</v>
      </c>
      <c r="Y69" s="144">
        <f t="shared" si="10"/>
        <v>31.779800000000002</v>
      </c>
      <c r="Z69" s="169">
        <f t="shared" si="1"/>
        <v>0</v>
      </c>
      <c r="AA69" s="274">
        <f t="shared" si="2"/>
        <v>0</v>
      </c>
      <c r="AB69" s="169">
        <f t="shared" si="11"/>
        <v>0</v>
      </c>
      <c r="AC69" s="274">
        <f t="shared" si="3"/>
        <v>0</v>
      </c>
      <c r="AD69" s="169">
        <f t="shared" si="4"/>
        <v>0</v>
      </c>
      <c r="AE69" s="274">
        <f t="shared" si="5"/>
        <v>0</v>
      </c>
      <c r="AF69" s="169">
        <f t="shared" si="12"/>
        <v>0</v>
      </c>
      <c r="AG69" s="274">
        <f t="shared" si="6"/>
        <v>0</v>
      </c>
      <c r="AH69" s="169">
        <f t="shared" si="13"/>
        <v>0</v>
      </c>
      <c r="AI69" s="169"/>
      <c r="AJ69" s="169">
        <f t="shared" si="14"/>
        <v>0</v>
      </c>
      <c r="AK69" s="169">
        <f t="shared" si="15"/>
        <v>0</v>
      </c>
      <c r="AL69" s="169"/>
      <c r="AM69" s="169"/>
      <c r="AN69" s="169"/>
      <c r="AQ69" s="169"/>
      <c r="AW69" s="144">
        <f t="shared" si="16"/>
        <v>0</v>
      </c>
    </row>
    <row r="70" spans="1:49" ht="9.75" thickBot="1">
      <c r="A70" s="175"/>
      <c r="B70" s="176"/>
      <c r="C70" s="176"/>
      <c r="D70" s="170" t="str">
        <f t="shared" si="0"/>
        <v xml:space="preserve"> </v>
      </c>
      <c r="E70" s="178"/>
      <c r="F70" s="288">
        <v>0</v>
      </c>
      <c r="G70" s="178">
        <v>37</v>
      </c>
      <c r="H70" s="178">
        <v>37</v>
      </c>
      <c r="I70" s="178"/>
      <c r="J70" s="180"/>
      <c r="K70" s="178"/>
      <c r="L70" s="180"/>
      <c r="M70" s="180"/>
      <c r="N70" s="178"/>
      <c r="O70" s="178"/>
      <c r="P70" s="178"/>
      <c r="Q70" s="171">
        <f>AS70</f>
        <v>0</v>
      </c>
      <c r="R70" s="171">
        <f>AT70</f>
        <v>0</v>
      </c>
      <c r="S70" s="172">
        <f>AU70</f>
        <v>0</v>
      </c>
      <c r="U70" s="144">
        <f>IF(OR(C69=5,C70=5),0,1)</f>
        <v>1</v>
      </c>
      <c r="V70" s="144">
        <f t="shared" si="7"/>
        <v>0</v>
      </c>
      <c r="W70" s="144">
        <f t="shared" si="8"/>
        <v>0</v>
      </c>
      <c r="X70" s="144">
        <f t="shared" si="18"/>
        <v>0</v>
      </c>
      <c r="Y70" s="144">
        <f t="shared" si="10"/>
        <v>31.779800000000002</v>
      </c>
      <c r="Z70" s="169">
        <f t="shared" si="1"/>
        <v>0</v>
      </c>
      <c r="AA70" s="274">
        <f t="shared" si="2"/>
        <v>0</v>
      </c>
      <c r="AB70" s="169">
        <f t="shared" si="11"/>
        <v>0</v>
      </c>
      <c r="AC70" s="274">
        <f t="shared" si="3"/>
        <v>0</v>
      </c>
      <c r="AD70" s="169">
        <f t="shared" si="4"/>
        <v>0</v>
      </c>
      <c r="AE70" s="274">
        <f t="shared" si="5"/>
        <v>0</v>
      </c>
      <c r="AF70" s="169">
        <f t="shared" si="12"/>
        <v>0</v>
      </c>
      <c r="AG70" s="274">
        <f t="shared" si="6"/>
        <v>0</v>
      </c>
      <c r="AH70" s="169">
        <f t="shared" si="13"/>
        <v>0</v>
      </c>
      <c r="AI70" s="169"/>
      <c r="AJ70" s="169">
        <f t="shared" si="14"/>
        <v>0</v>
      </c>
      <c r="AK70" s="169">
        <f t="shared" si="15"/>
        <v>0</v>
      </c>
      <c r="AL70" s="169"/>
      <c r="AM70" s="169">
        <f>AK69*W69+AK70*W70</f>
        <v>0</v>
      </c>
      <c r="AN70" s="169">
        <f>(SUM(AD69:AG69)*W69+SUM(AD70:AG70)*W70)*12*VLOOKUP(C70,JNovergang,3,1)</f>
        <v>0</v>
      </c>
      <c r="AO70" s="169">
        <f>AM70-AN70</f>
        <v>0</v>
      </c>
      <c r="AP70" s="169">
        <f>M70*(100+X70)%</f>
        <v>0</v>
      </c>
      <c r="AQ70" s="274">
        <f>ROUND(M70*F70,2)</f>
        <v>0</v>
      </c>
      <c r="AS70" s="274">
        <f>ROUND((AP70+AQ70)+AM70*(N70/12),0)</f>
        <v>0</v>
      </c>
      <c r="AT70" s="274">
        <f>ROUND(AM70*(O70/12),0)</f>
        <v>0</v>
      </c>
      <c r="AU70" s="274">
        <f>ROUND(AM70*(P70/12)*U70,0)</f>
        <v>0</v>
      </c>
      <c r="AW70" s="144">
        <f t="shared" si="16"/>
        <v>0</v>
      </c>
    </row>
    <row r="71" spans="1:49">
      <c r="A71" s="173"/>
      <c r="B71" s="174"/>
      <c r="C71" s="174"/>
      <c r="D71" s="165" t="str">
        <f t="shared" si="0"/>
        <v xml:space="preserve"> </v>
      </c>
      <c r="E71" s="177"/>
      <c r="F71" s="287">
        <v>0</v>
      </c>
      <c r="G71" s="177">
        <v>37</v>
      </c>
      <c r="H71" s="177">
        <v>37</v>
      </c>
      <c r="I71" s="177"/>
      <c r="J71" s="179"/>
      <c r="K71" s="177"/>
      <c r="L71" s="179"/>
      <c r="M71" s="166"/>
      <c r="N71" s="166"/>
      <c r="O71" s="166"/>
      <c r="P71" s="166"/>
      <c r="Q71" s="167"/>
      <c r="R71" s="167"/>
      <c r="S71" s="168"/>
      <c r="V71" s="144">
        <f t="shared" si="7"/>
        <v>0</v>
      </c>
      <c r="W71" s="144">
        <f t="shared" si="8"/>
        <v>0</v>
      </c>
      <c r="X71" s="144">
        <f t="shared" si="18"/>
        <v>0</v>
      </c>
      <c r="Y71" s="144">
        <f t="shared" si="10"/>
        <v>31.779800000000002</v>
      </c>
      <c r="Z71" s="169">
        <f t="shared" si="1"/>
        <v>0</v>
      </c>
      <c r="AA71" s="274">
        <f t="shared" si="2"/>
        <v>0</v>
      </c>
      <c r="AB71" s="169">
        <f t="shared" si="11"/>
        <v>0</v>
      </c>
      <c r="AC71" s="274">
        <f t="shared" si="3"/>
        <v>0</v>
      </c>
      <c r="AD71" s="169">
        <f t="shared" si="4"/>
        <v>0</v>
      </c>
      <c r="AE71" s="274">
        <f t="shared" si="5"/>
        <v>0</v>
      </c>
      <c r="AF71" s="169">
        <f t="shared" si="12"/>
        <v>0</v>
      </c>
      <c r="AG71" s="274">
        <f t="shared" si="6"/>
        <v>0</v>
      </c>
      <c r="AH71" s="169">
        <f t="shared" si="13"/>
        <v>0</v>
      </c>
      <c r="AI71" s="169"/>
      <c r="AJ71" s="169">
        <f t="shared" si="14"/>
        <v>0</v>
      </c>
      <c r="AK71" s="169">
        <f t="shared" si="15"/>
        <v>0</v>
      </c>
      <c r="AL71" s="169"/>
      <c r="AM71" s="169"/>
      <c r="AN71" s="169"/>
      <c r="AQ71" s="169"/>
      <c r="AW71" s="144">
        <f t="shared" si="16"/>
        <v>0</v>
      </c>
    </row>
    <row r="72" spans="1:49" ht="9.75" thickBot="1">
      <c r="A72" s="175"/>
      <c r="B72" s="176"/>
      <c r="C72" s="176"/>
      <c r="D72" s="170" t="str">
        <f t="shared" si="0"/>
        <v xml:space="preserve"> </v>
      </c>
      <c r="E72" s="178"/>
      <c r="F72" s="288">
        <v>0</v>
      </c>
      <c r="G72" s="178">
        <v>37</v>
      </c>
      <c r="H72" s="178">
        <v>37</v>
      </c>
      <c r="I72" s="178"/>
      <c r="J72" s="180"/>
      <c r="K72" s="178"/>
      <c r="L72" s="180"/>
      <c r="M72" s="180"/>
      <c r="N72" s="178"/>
      <c r="O72" s="178"/>
      <c r="P72" s="178"/>
      <c r="Q72" s="171">
        <f>AS72</f>
        <v>0</v>
      </c>
      <c r="R72" s="171">
        <f>AT72</f>
        <v>0</v>
      </c>
      <c r="S72" s="172">
        <f>AU72</f>
        <v>0</v>
      </c>
      <c r="U72" s="144">
        <f>IF(OR(C71=5,C72=5),0,1)</f>
        <v>1</v>
      </c>
      <c r="V72" s="144">
        <f t="shared" si="7"/>
        <v>0</v>
      </c>
      <c r="W72" s="144">
        <f t="shared" si="8"/>
        <v>0</v>
      </c>
      <c r="X72" s="144">
        <f t="shared" si="18"/>
        <v>0</v>
      </c>
      <c r="Y72" s="144">
        <f t="shared" si="10"/>
        <v>31.779800000000002</v>
      </c>
      <c r="Z72" s="169">
        <f t="shared" si="1"/>
        <v>0</v>
      </c>
      <c r="AA72" s="274">
        <f t="shared" si="2"/>
        <v>0</v>
      </c>
      <c r="AB72" s="169">
        <f t="shared" si="11"/>
        <v>0</v>
      </c>
      <c r="AC72" s="274">
        <f t="shared" si="3"/>
        <v>0</v>
      </c>
      <c r="AD72" s="169">
        <f t="shared" si="4"/>
        <v>0</v>
      </c>
      <c r="AE72" s="274">
        <f t="shared" si="5"/>
        <v>0</v>
      </c>
      <c r="AF72" s="169">
        <f t="shared" si="12"/>
        <v>0</v>
      </c>
      <c r="AG72" s="274">
        <f t="shared" si="6"/>
        <v>0</v>
      </c>
      <c r="AH72" s="169">
        <f t="shared" si="13"/>
        <v>0</v>
      </c>
      <c r="AI72" s="169"/>
      <c r="AJ72" s="169">
        <f t="shared" si="14"/>
        <v>0</v>
      </c>
      <c r="AK72" s="169">
        <f t="shared" si="15"/>
        <v>0</v>
      </c>
      <c r="AL72" s="169"/>
      <c r="AM72" s="169">
        <f>AK71*W71+AK72*W72</f>
        <v>0</v>
      </c>
      <c r="AN72" s="169">
        <f>(SUM(AD71:AG71)*W71+SUM(AD72:AG72)*W72)*12*VLOOKUP(C72,JNovergang,3,1)</f>
        <v>0</v>
      </c>
      <c r="AO72" s="169">
        <f>AM72-AN72</f>
        <v>0</v>
      </c>
      <c r="AP72" s="169">
        <f>M72*(100+X72)%</f>
        <v>0</v>
      </c>
      <c r="AQ72" s="274">
        <f>ROUND(M72*F72,2)</f>
        <v>0</v>
      </c>
      <c r="AS72" s="274">
        <f>ROUND((AP72+AQ72)+AM72*(N72/12),0)</f>
        <v>0</v>
      </c>
      <c r="AT72" s="274">
        <f>ROUND(AM72*(O72/12),0)</f>
        <v>0</v>
      </c>
      <c r="AU72" s="274">
        <f>ROUND(AM72*(P72/12)*U72,0)</f>
        <v>0</v>
      </c>
      <c r="AW72" s="144">
        <f t="shared" si="16"/>
        <v>0</v>
      </c>
    </row>
    <row r="73" spans="1:49">
      <c r="A73" s="173"/>
      <c r="B73" s="174"/>
      <c r="C73" s="174"/>
      <c r="D73" s="165" t="str">
        <f t="shared" si="0"/>
        <v xml:space="preserve"> </v>
      </c>
      <c r="E73" s="177"/>
      <c r="F73" s="287">
        <v>0</v>
      </c>
      <c r="G73" s="177">
        <v>37</v>
      </c>
      <c r="H73" s="177">
        <v>37</v>
      </c>
      <c r="I73" s="177"/>
      <c r="J73" s="179"/>
      <c r="K73" s="177"/>
      <c r="L73" s="179"/>
      <c r="M73" s="166"/>
      <c r="N73" s="166"/>
      <c r="O73" s="166"/>
      <c r="P73" s="166"/>
      <c r="Q73" s="167"/>
      <c r="R73" s="167"/>
      <c r="S73" s="168"/>
      <c r="V73" s="144">
        <f t="shared" si="7"/>
        <v>0</v>
      </c>
      <c r="W73" s="144">
        <f t="shared" si="8"/>
        <v>0</v>
      </c>
      <c r="X73" s="144">
        <f t="shared" si="18"/>
        <v>0</v>
      </c>
      <c r="Y73" s="144">
        <f t="shared" si="10"/>
        <v>31.779800000000002</v>
      </c>
      <c r="Z73" s="169">
        <f t="shared" si="1"/>
        <v>0</v>
      </c>
      <c r="AA73" s="274">
        <f t="shared" si="2"/>
        <v>0</v>
      </c>
      <c r="AB73" s="169">
        <f t="shared" si="11"/>
        <v>0</v>
      </c>
      <c r="AC73" s="274">
        <f t="shared" si="3"/>
        <v>0</v>
      </c>
      <c r="AD73" s="169">
        <f t="shared" si="4"/>
        <v>0</v>
      </c>
      <c r="AE73" s="274">
        <f t="shared" si="5"/>
        <v>0</v>
      </c>
      <c r="AF73" s="169">
        <f t="shared" si="12"/>
        <v>0</v>
      </c>
      <c r="AG73" s="274">
        <f t="shared" si="6"/>
        <v>0</v>
      </c>
      <c r="AH73" s="169">
        <f t="shared" si="13"/>
        <v>0</v>
      </c>
      <c r="AI73" s="169"/>
      <c r="AJ73" s="169">
        <f t="shared" si="14"/>
        <v>0</v>
      </c>
      <c r="AK73" s="169">
        <f t="shared" si="15"/>
        <v>0</v>
      </c>
      <c r="AL73" s="169"/>
      <c r="AM73" s="169"/>
      <c r="AN73" s="169"/>
      <c r="AQ73" s="169"/>
      <c r="AW73" s="144">
        <f t="shared" si="16"/>
        <v>0</v>
      </c>
    </row>
    <row r="74" spans="1:49" ht="9.75" thickBot="1">
      <c r="A74" s="175"/>
      <c r="B74" s="176"/>
      <c r="C74" s="176"/>
      <c r="D74" s="170" t="str">
        <f t="shared" si="0"/>
        <v xml:space="preserve"> </v>
      </c>
      <c r="E74" s="178"/>
      <c r="F74" s="288">
        <v>0</v>
      </c>
      <c r="G74" s="178">
        <v>37</v>
      </c>
      <c r="H74" s="178">
        <v>37</v>
      </c>
      <c r="I74" s="178"/>
      <c r="J74" s="180"/>
      <c r="K74" s="178"/>
      <c r="L74" s="180"/>
      <c r="M74" s="180"/>
      <c r="N74" s="178"/>
      <c r="O74" s="178"/>
      <c r="P74" s="178"/>
      <c r="Q74" s="171">
        <f>AS74</f>
        <v>0</v>
      </c>
      <c r="R74" s="171">
        <f>AT74</f>
        <v>0</v>
      </c>
      <c r="S74" s="172">
        <f>AU74</f>
        <v>0</v>
      </c>
      <c r="U74" s="144">
        <f>IF(OR(C73=5,C74=5),0,1)</f>
        <v>1</v>
      </c>
      <c r="V74" s="144">
        <f t="shared" si="7"/>
        <v>0</v>
      </c>
      <c r="W74" s="144">
        <f t="shared" si="8"/>
        <v>0</v>
      </c>
      <c r="X74" s="144">
        <f t="shared" si="18"/>
        <v>0</v>
      </c>
      <c r="Y74" s="144">
        <f t="shared" si="10"/>
        <v>31.779800000000002</v>
      </c>
      <c r="Z74" s="169">
        <f t="shared" si="1"/>
        <v>0</v>
      </c>
      <c r="AA74" s="274">
        <f t="shared" si="2"/>
        <v>0</v>
      </c>
      <c r="AB74" s="169">
        <f t="shared" si="11"/>
        <v>0</v>
      </c>
      <c r="AC74" s="274">
        <f t="shared" si="3"/>
        <v>0</v>
      </c>
      <c r="AD74" s="169">
        <f t="shared" si="4"/>
        <v>0</v>
      </c>
      <c r="AE74" s="274">
        <f t="shared" si="5"/>
        <v>0</v>
      </c>
      <c r="AF74" s="169">
        <f t="shared" si="12"/>
        <v>0</v>
      </c>
      <c r="AG74" s="274">
        <f t="shared" si="6"/>
        <v>0</v>
      </c>
      <c r="AH74" s="169">
        <f t="shared" si="13"/>
        <v>0</v>
      </c>
      <c r="AI74" s="169"/>
      <c r="AJ74" s="169">
        <f t="shared" si="14"/>
        <v>0</v>
      </c>
      <c r="AK74" s="169">
        <f t="shared" si="15"/>
        <v>0</v>
      </c>
      <c r="AL74" s="169"/>
      <c r="AM74" s="169">
        <f>AK73*W73+AK74*W74</f>
        <v>0</v>
      </c>
      <c r="AN74" s="169">
        <f>(SUM(AD73:AG73)*W73+SUM(AD74:AG74)*W74)*12*VLOOKUP(C74,JNovergang,3,1)</f>
        <v>0</v>
      </c>
      <c r="AO74" s="169">
        <f>AM74-AN74</f>
        <v>0</v>
      </c>
      <c r="AP74" s="169">
        <f>M74*(100+X74)%</f>
        <v>0</v>
      </c>
      <c r="AQ74" s="274">
        <f>ROUND(M74*F74,2)</f>
        <v>0</v>
      </c>
      <c r="AS74" s="274">
        <f>ROUND((AP74+AQ74)+AM74*(N74/12),0)</f>
        <v>0</v>
      </c>
      <c r="AT74" s="274">
        <f>ROUND(AM74*(O74/12),0)</f>
        <v>0</v>
      </c>
      <c r="AU74" s="274">
        <f>ROUND(AM74*(P74/12)*U74,0)</f>
        <v>0</v>
      </c>
      <c r="AW74" s="144">
        <f t="shared" si="16"/>
        <v>0</v>
      </c>
    </row>
    <row r="75" spans="1:49">
      <c r="A75" s="173"/>
      <c r="B75" s="174"/>
      <c r="C75" s="174"/>
      <c r="D75" s="165" t="str">
        <f t="shared" si="0"/>
        <v xml:space="preserve"> </v>
      </c>
      <c r="E75" s="177"/>
      <c r="F75" s="287">
        <v>0</v>
      </c>
      <c r="G75" s="177">
        <v>37</v>
      </c>
      <c r="H75" s="177">
        <v>37</v>
      </c>
      <c r="I75" s="177"/>
      <c r="J75" s="179"/>
      <c r="K75" s="177"/>
      <c r="L75" s="179"/>
      <c r="M75" s="166"/>
      <c r="N75" s="166"/>
      <c r="O75" s="166"/>
      <c r="P75" s="166"/>
      <c r="Q75" s="167"/>
      <c r="R75" s="167"/>
      <c r="S75" s="168"/>
      <c r="V75" s="144">
        <f t="shared" si="7"/>
        <v>0</v>
      </c>
      <c r="W75" s="144">
        <f t="shared" si="8"/>
        <v>0</v>
      </c>
      <c r="X75" s="144">
        <f t="shared" si="18"/>
        <v>0</v>
      </c>
      <c r="Y75" s="144">
        <f t="shared" si="10"/>
        <v>31.779800000000002</v>
      </c>
      <c r="Z75" s="169">
        <f t="shared" si="1"/>
        <v>0</v>
      </c>
      <c r="AA75" s="274">
        <f t="shared" si="2"/>
        <v>0</v>
      </c>
      <c r="AB75" s="169">
        <f t="shared" si="11"/>
        <v>0</v>
      </c>
      <c r="AC75" s="274">
        <f t="shared" si="3"/>
        <v>0</v>
      </c>
      <c r="AD75" s="169">
        <f t="shared" si="4"/>
        <v>0</v>
      </c>
      <c r="AE75" s="274">
        <f t="shared" si="5"/>
        <v>0</v>
      </c>
      <c r="AF75" s="169">
        <f t="shared" si="12"/>
        <v>0</v>
      </c>
      <c r="AG75" s="274">
        <f t="shared" si="6"/>
        <v>0</v>
      </c>
      <c r="AH75" s="169">
        <f t="shared" si="13"/>
        <v>0</v>
      </c>
      <c r="AI75" s="169"/>
      <c r="AJ75" s="169">
        <f t="shared" si="14"/>
        <v>0</v>
      </c>
      <c r="AK75" s="169">
        <f t="shared" si="15"/>
        <v>0</v>
      </c>
      <c r="AL75" s="169"/>
      <c r="AM75" s="169"/>
      <c r="AN75" s="169"/>
      <c r="AQ75" s="169"/>
      <c r="AW75" s="144">
        <f t="shared" si="16"/>
        <v>0</v>
      </c>
    </row>
    <row r="76" spans="1:49" ht="9.75" thickBot="1">
      <c r="A76" s="175"/>
      <c r="B76" s="176"/>
      <c r="C76" s="176"/>
      <c r="D76" s="170" t="str">
        <f t="shared" si="0"/>
        <v xml:space="preserve"> </v>
      </c>
      <c r="E76" s="178"/>
      <c r="F76" s="288">
        <v>0</v>
      </c>
      <c r="G76" s="178">
        <v>37</v>
      </c>
      <c r="H76" s="178">
        <v>37</v>
      </c>
      <c r="I76" s="178"/>
      <c r="J76" s="180"/>
      <c r="K76" s="178"/>
      <c r="L76" s="180"/>
      <c r="M76" s="180"/>
      <c r="N76" s="178"/>
      <c r="O76" s="178"/>
      <c r="P76" s="178"/>
      <c r="Q76" s="171">
        <f>AS76</f>
        <v>0</v>
      </c>
      <c r="R76" s="171">
        <f>AT76</f>
        <v>0</v>
      </c>
      <c r="S76" s="172">
        <f>AU76</f>
        <v>0</v>
      </c>
      <c r="U76" s="144">
        <f>IF(OR(C75=5,C76=5),0,1)</f>
        <v>1</v>
      </c>
      <c r="V76" s="144">
        <f t="shared" si="7"/>
        <v>0</v>
      </c>
      <c r="W76" s="144">
        <f t="shared" si="8"/>
        <v>0</v>
      </c>
      <c r="X76" s="144">
        <f t="shared" si="18"/>
        <v>0</v>
      </c>
      <c r="Y76" s="144">
        <f t="shared" si="10"/>
        <v>31.779800000000002</v>
      </c>
      <c r="Z76" s="169">
        <f t="shared" si="1"/>
        <v>0</v>
      </c>
      <c r="AA76" s="274">
        <f t="shared" si="2"/>
        <v>0</v>
      </c>
      <c r="AB76" s="169">
        <f t="shared" si="11"/>
        <v>0</v>
      </c>
      <c r="AC76" s="274">
        <f t="shared" si="3"/>
        <v>0</v>
      </c>
      <c r="AD76" s="169">
        <f t="shared" si="4"/>
        <v>0</v>
      </c>
      <c r="AE76" s="274">
        <f t="shared" si="5"/>
        <v>0</v>
      </c>
      <c r="AF76" s="169">
        <f t="shared" si="12"/>
        <v>0</v>
      </c>
      <c r="AG76" s="274">
        <f t="shared" si="6"/>
        <v>0</v>
      </c>
      <c r="AH76" s="169">
        <f t="shared" si="13"/>
        <v>0</v>
      </c>
      <c r="AI76" s="169"/>
      <c r="AJ76" s="169">
        <f t="shared" si="14"/>
        <v>0</v>
      </c>
      <c r="AK76" s="169">
        <f t="shared" si="15"/>
        <v>0</v>
      </c>
      <c r="AL76" s="169"/>
      <c r="AM76" s="169">
        <f>AK75*W75+AK76*W76</f>
        <v>0</v>
      </c>
      <c r="AN76" s="169">
        <f>(SUM(AD75:AG75)*W75+SUM(AD76:AG76)*W76)*12*VLOOKUP(C76,JNovergang,3,1)</f>
        <v>0</v>
      </c>
      <c r="AO76" s="169">
        <f>AM76-AN76</f>
        <v>0</v>
      </c>
      <c r="AP76" s="169">
        <f>M76*(100+X76)%</f>
        <v>0</v>
      </c>
      <c r="AQ76" s="274">
        <f>ROUND(M76*F76,2)</f>
        <v>0</v>
      </c>
      <c r="AS76" s="274">
        <f>ROUND((AP76+AQ76)+AM76*(N76/12),0)</f>
        <v>0</v>
      </c>
      <c r="AT76" s="274">
        <f>ROUND(AM76*(O76/12),0)</f>
        <v>0</v>
      </c>
      <c r="AU76" s="274">
        <f>ROUND(AM76*(P76/12)*U76,0)</f>
        <v>0</v>
      </c>
      <c r="AW76" s="144">
        <f t="shared" si="16"/>
        <v>0</v>
      </c>
    </row>
    <row r="77" spans="1:49">
      <c r="A77" s="173"/>
      <c r="B77" s="174"/>
      <c r="C77" s="174"/>
      <c r="D77" s="165" t="str">
        <f t="shared" si="0"/>
        <v xml:space="preserve"> </v>
      </c>
      <c r="E77" s="177"/>
      <c r="F77" s="287">
        <v>0</v>
      </c>
      <c r="G77" s="177">
        <v>37</v>
      </c>
      <c r="H77" s="177">
        <v>37</v>
      </c>
      <c r="I77" s="177"/>
      <c r="J77" s="179"/>
      <c r="K77" s="177"/>
      <c r="L77" s="179"/>
      <c r="M77" s="166"/>
      <c r="N77" s="166"/>
      <c r="O77" s="166"/>
      <c r="P77" s="166"/>
      <c r="Q77" s="167"/>
      <c r="R77" s="167"/>
      <c r="S77" s="168"/>
      <c r="V77" s="144">
        <f t="shared" si="7"/>
        <v>0</v>
      </c>
      <c r="W77" s="144">
        <f t="shared" si="8"/>
        <v>0</v>
      </c>
      <c r="X77" s="144">
        <f t="shared" si="18"/>
        <v>0</v>
      </c>
      <c r="Y77" s="144">
        <f t="shared" si="10"/>
        <v>31.779800000000002</v>
      </c>
      <c r="Z77" s="169">
        <f t="shared" si="1"/>
        <v>0</v>
      </c>
      <c r="AA77" s="274">
        <f t="shared" si="2"/>
        <v>0</v>
      </c>
      <c r="AB77" s="169">
        <f t="shared" si="11"/>
        <v>0</v>
      </c>
      <c r="AC77" s="274">
        <f t="shared" si="3"/>
        <v>0</v>
      </c>
      <c r="AD77" s="169">
        <f t="shared" si="4"/>
        <v>0</v>
      </c>
      <c r="AE77" s="274">
        <f t="shared" si="5"/>
        <v>0</v>
      </c>
      <c r="AF77" s="169">
        <f t="shared" si="12"/>
        <v>0</v>
      </c>
      <c r="AG77" s="274">
        <f t="shared" si="6"/>
        <v>0</v>
      </c>
      <c r="AH77" s="169">
        <f t="shared" si="13"/>
        <v>0</v>
      </c>
      <c r="AI77" s="169"/>
      <c r="AJ77" s="169">
        <f t="shared" si="14"/>
        <v>0</v>
      </c>
      <c r="AK77" s="169">
        <f t="shared" si="15"/>
        <v>0</v>
      </c>
      <c r="AL77" s="169"/>
      <c r="AM77" s="169"/>
      <c r="AN77" s="169"/>
      <c r="AQ77" s="169"/>
      <c r="AW77" s="144">
        <f t="shared" si="16"/>
        <v>0</v>
      </c>
    </row>
    <row r="78" spans="1:49" ht="9.75" thickBot="1">
      <c r="A78" s="175"/>
      <c r="B78" s="176"/>
      <c r="C78" s="176"/>
      <c r="D78" s="170" t="str">
        <f t="shared" si="0"/>
        <v xml:space="preserve"> </v>
      </c>
      <c r="E78" s="178"/>
      <c r="F78" s="288">
        <v>0</v>
      </c>
      <c r="G78" s="178">
        <v>37</v>
      </c>
      <c r="H78" s="178">
        <v>37</v>
      </c>
      <c r="I78" s="178"/>
      <c r="J78" s="180"/>
      <c r="K78" s="178"/>
      <c r="L78" s="180"/>
      <c r="M78" s="180"/>
      <c r="N78" s="178"/>
      <c r="O78" s="178"/>
      <c r="P78" s="178"/>
      <c r="Q78" s="171">
        <f>AS78</f>
        <v>0</v>
      </c>
      <c r="R78" s="171">
        <f>AT78</f>
        <v>0</v>
      </c>
      <c r="S78" s="172">
        <f>AU78</f>
        <v>0</v>
      </c>
      <c r="U78" s="144">
        <f>IF(OR(C77=5,C78=5),0,1)</f>
        <v>1</v>
      </c>
      <c r="V78" s="144">
        <f t="shared" si="7"/>
        <v>0</v>
      </c>
      <c r="W78" s="144">
        <f t="shared" si="8"/>
        <v>0</v>
      </c>
      <c r="X78" s="144">
        <f t="shared" si="18"/>
        <v>0</v>
      </c>
      <c r="Y78" s="144">
        <f t="shared" si="10"/>
        <v>31.779800000000002</v>
      </c>
      <c r="Z78" s="169">
        <f t="shared" si="1"/>
        <v>0</v>
      </c>
      <c r="AA78" s="274">
        <f t="shared" si="2"/>
        <v>0</v>
      </c>
      <c r="AB78" s="169">
        <f t="shared" si="11"/>
        <v>0</v>
      </c>
      <c r="AC78" s="274">
        <f t="shared" si="3"/>
        <v>0</v>
      </c>
      <c r="AD78" s="169">
        <f t="shared" si="4"/>
        <v>0</v>
      </c>
      <c r="AE78" s="274">
        <f t="shared" si="5"/>
        <v>0</v>
      </c>
      <c r="AF78" s="169">
        <f t="shared" si="12"/>
        <v>0</v>
      </c>
      <c r="AG78" s="274">
        <f t="shared" si="6"/>
        <v>0</v>
      </c>
      <c r="AH78" s="169">
        <f t="shared" si="13"/>
        <v>0</v>
      </c>
      <c r="AI78" s="169"/>
      <c r="AJ78" s="169">
        <f t="shared" si="14"/>
        <v>0</v>
      </c>
      <c r="AK78" s="169">
        <f t="shared" si="15"/>
        <v>0</v>
      </c>
      <c r="AL78" s="169"/>
      <c r="AM78" s="169">
        <f>AK77*W77+AK78*W78</f>
        <v>0</v>
      </c>
      <c r="AN78" s="169">
        <f>(SUM(AD77:AG77)*W77+SUM(AD78:AG78)*W78)*12*VLOOKUP(C78,JNovergang,3,1)</f>
        <v>0</v>
      </c>
      <c r="AO78" s="169">
        <f>AM78-AN78</f>
        <v>0</v>
      </c>
      <c r="AP78" s="169">
        <f>M78*(100+X78)%</f>
        <v>0</v>
      </c>
      <c r="AQ78" s="274">
        <f>ROUND(M78*F78,2)</f>
        <v>0</v>
      </c>
      <c r="AS78" s="274">
        <f>ROUND((AP78+AQ78)+AM78*(N78/12),0)</f>
        <v>0</v>
      </c>
      <c r="AT78" s="274">
        <f>ROUND(AM78*(O78/12),0)</f>
        <v>0</v>
      </c>
      <c r="AU78" s="274">
        <f>ROUND(AM78*(P78/12)*U78,0)</f>
        <v>0</v>
      </c>
      <c r="AW78" s="144">
        <f t="shared" si="16"/>
        <v>0</v>
      </c>
    </row>
    <row r="79" spans="1:49">
      <c r="A79" s="173"/>
      <c r="B79" s="174"/>
      <c r="C79" s="174"/>
      <c r="D79" s="165" t="str">
        <f t="shared" si="0"/>
        <v xml:space="preserve"> </v>
      </c>
      <c r="E79" s="177"/>
      <c r="F79" s="287">
        <v>0</v>
      </c>
      <c r="G79" s="177">
        <v>37</v>
      </c>
      <c r="H79" s="177">
        <v>37</v>
      </c>
      <c r="I79" s="177"/>
      <c r="J79" s="179"/>
      <c r="K79" s="177"/>
      <c r="L79" s="179"/>
      <c r="M79" s="166"/>
      <c r="N79" s="166"/>
      <c r="O79" s="166"/>
      <c r="P79" s="166"/>
      <c r="Q79" s="167"/>
      <c r="R79" s="167"/>
      <c r="S79" s="168"/>
      <c r="V79" s="144">
        <f t="shared" si="7"/>
        <v>0</v>
      </c>
      <c r="W79" s="144">
        <f t="shared" si="8"/>
        <v>0</v>
      </c>
      <c r="X79" s="144">
        <f t="shared" si="18"/>
        <v>0</v>
      </c>
      <c r="Y79" s="144">
        <f t="shared" si="10"/>
        <v>31.779800000000002</v>
      </c>
      <c r="Z79" s="169">
        <f t="shared" si="1"/>
        <v>0</v>
      </c>
      <c r="AA79" s="274">
        <f t="shared" si="2"/>
        <v>0</v>
      </c>
      <c r="AB79" s="169">
        <f t="shared" si="11"/>
        <v>0</v>
      </c>
      <c r="AC79" s="274">
        <f t="shared" si="3"/>
        <v>0</v>
      </c>
      <c r="AD79" s="169">
        <f t="shared" si="4"/>
        <v>0</v>
      </c>
      <c r="AE79" s="274">
        <f t="shared" si="5"/>
        <v>0</v>
      </c>
      <c r="AF79" s="169">
        <f t="shared" si="12"/>
        <v>0</v>
      </c>
      <c r="AG79" s="274">
        <f t="shared" si="6"/>
        <v>0</v>
      </c>
      <c r="AH79" s="169">
        <f t="shared" si="13"/>
        <v>0</v>
      </c>
      <c r="AI79" s="169"/>
      <c r="AJ79" s="169">
        <f t="shared" si="14"/>
        <v>0</v>
      </c>
      <c r="AK79" s="169">
        <f t="shared" si="15"/>
        <v>0</v>
      </c>
      <c r="AL79" s="169"/>
      <c r="AM79" s="169"/>
      <c r="AN79" s="169"/>
      <c r="AQ79" s="169"/>
      <c r="AW79" s="144">
        <f t="shared" si="16"/>
        <v>0</v>
      </c>
    </row>
    <row r="80" spans="1:49" ht="9.75" thickBot="1">
      <c r="A80" s="175"/>
      <c r="B80" s="176"/>
      <c r="C80" s="176"/>
      <c r="D80" s="170" t="str">
        <f t="shared" si="0"/>
        <v xml:space="preserve"> </v>
      </c>
      <c r="E80" s="178"/>
      <c r="F80" s="288">
        <v>0</v>
      </c>
      <c r="G80" s="178">
        <v>37</v>
      </c>
      <c r="H80" s="178">
        <v>37</v>
      </c>
      <c r="I80" s="178"/>
      <c r="J80" s="180"/>
      <c r="K80" s="178"/>
      <c r="L80" s="180"/>
      <c r="M80" s="180"/>
      <c r="N80" s="178"/>
      <c r="O80" s="178"/>
      <c r="P80" s="178"/>
      <c r="Q80" s="171">
        <f>AS80</f>
        <v>0</v>
      </c>
      <c r="R80" s="171">
        <f>AT80</f>
        <v>0</v>
      </c>
      <c r="S80" s="172">
        <f>AU80</f>
        <v>0</v>
      </c>
      <c r="U80" s="144">
        <f>IF(OR(C79=5,C80=5),0,1)</f>
        <v>1</v>
      </c>
      <c r="V80" s="144">
        <f t="shared" si="7"/>
        <v>0</v>
      </c>
      <c r="W80" s="144">
        <f t="shared" si="8"/>
        <v>0</v>
      </c>
      <c r="X80" s="144">
        <f t="shared" si="18"/>
        <v>0</v>
      </c>
      <c r="Y80" s="144">
        <f t="shared" si="10"/>
        <v>31.779800000000002</v>
      </c>
      <c r="Z80" s="169">
        <f t="shared" si="1"/>
        <v>0</v>
      </c>
      <c r="AA80" s="274">
        <f t="shared" si="2"/>
        <v>0</v>
      </c>
      <c r="AB80" s="169">
        <f t="shared" si="11"/>
        <v>0</v>
      </c>
      <c r="AC80" s="274">
        <f t="shared" si="3"/>
        <v>0</v>
      </c>
      <c r="AD80" s="169">
        <f t="shared" si="4"/>
        <v>0</v>
      </c>
      <c r="AE80" s="274">
        <f t="shared" si="5"/>
        <v>0</v>
      </c>
      <c r="AF80" s="169">
        <f t="shared" si="12"/>
        <v>0</v>
      </c>
      <c r="AG80" s="274">
        <f t="shared" si="6"/>
        <v>0</v>
      </c>
      <c r="AH80" s="169">
        <f t="shared" si="13"/>
        <v>0</v>
      </c>
      <c r="AI80" s="169"/>
      <c r="AJ80" s="169">
        <f t="shared" si="14"/>
        <v>0</v>
      </c>
      <c r="AK80" s="169">
        <f t="shared" si="15"/>
        <v>0</v>
      </c>
      <c r="AL80" s="169"/>
      <c r="AM80" s="169">
        <f>AK79*W79+AK80*W80</f>
        <v>0</v>
      </c>
      <c r="AN80" s="169">
        <f>(SUM(AD79:AG79)*W79+SUM(AD80:AG80)*W80)*12*VLOOKUP(C80,JNovergang,3,1)</f>
        <v>0</v>
      </c>
      <c r="AO80" s="169">
        <f>AM80-AN80</f>
        <v>0</v>
      </c>
      <c r="AP80" s="169">
        <f>M80*(100+X80)%</f>
        <v>0</v>
      </c>
      <c r="AQ80" s="274">
        <f>ROUND(M80*F80,2)</f>
        <v>0</v>
      </c>
      <c r="AS80" s="274">
        <f>ROUND((AP80+AQ80)+AM80*(N80/12),0)</f>
        <v>0</v>
      </c>
      <c r="AT80" s="274">
        <f>ROUND(AM80*(O80/12),0)</f>
        <v>0</v>
      </c>
      <c r="AU80" s="274">
        <f>ROUND(AM80*(P80/12)*U80,0)</f>
        <v>0</v>
      </c>
      <c r="AW80" s="144">
        <f t="shared" si="16"/>
        <v>0</v>
      </c>
    </row>
    <row r="81" spans="1:49">
      <c r="A81" s="173"/>
      <c r="B81" s="174"/>
      <c r="C81" s="174"/>
      <c r="D81" s="165" t="str">
        <f t="shared" si="0"/>
        <v xml:space="preserve"> </v>
      </c>
      <c r="E81" s="177"/>
      <c r="F81" s="287">
        <v>0</v>
      </c>
      <c r="G81" s="177">
        <v>37</v>
      </c>
      <c r="H81" s="177">
        <v>37</v>
      </c>
      <c r="I81" s="177"/>
      <c r="J81" s="179"/>
      <c r="K81" s="177"/>
      <c r="L81" s="179"/>
      <c r="M81" s="166"/>
      <c r="N81" s="166"/>
      <c r="O81" s="166"/>
      <c r="P81" s="166"/>
      <c r="Q81" s="167"/>
      <c r="R81" s="167"/>
      <c r="S81" s="168"/>
      <c r="V81" s="144">
        <f t="shared" si="7"/>
        <v>0</v>
      </c>
      <c r="W81" s="144">
        <f t="shared" si="8"/>
        <v>0</v>
      </c>
      <c r="X81" s="144">
        <f t="shared" si="18"/>
        <v>0</v>
      </c>
      <c r="Y81" s="144">
        <f t="shared" si="10"/>
        <v>31.779800000000002</v>
      </c>
      <c r="Z81" s="169">
        <f t="shared" si="1"/>
        <v>0</v>
      </c>
      <c r="AA81" s="274">
        <f t="shared" si="2"/>
        <v>0</v>
      </c>
      <c r="AB81" s="169">
        <f t="shared" si="11"/>
        <v>0</v>
      </c>
      <c r="AC81" s="274">
        <f t="shared" si="3"/>
        <v>0</v>
      </c>
      <c r="AD81" s="169">
        <f t="shared" si="4"/>
        <v>0</v>
      </c>
      <c r="AE81" s="274">
        <f t="shared" si="5"/>
        <v>0</v>
      </c>
      <c r="AF81" s="169">
        <f t="shared" si="12"/>
        <v>0</v>
      </c>
      <c r="AG81" s="274">
        <f t="shared" si="6"/>
        <v>0</v>
      </c>
      <c r="AH81" s="169">
        <f t="shared" si="13"/>
        <v>0</v>
      </c>
      <c r="AI81" s="169"/>
      <c r="AJ81" s="169">
        <f t="shared" si="14"/>
        <v>0</v>
      </c>
      <c r="AK81" s="169">
        <f t="shared" si="15"/>
        <v>0</v>
      </c>
      <c r="AL81" s="169"/>
      <c r="AM81" s="169"/>
      <c r="AN81" s="169"/>
      <c r="AQ81" s="169"/>
      <c r="AW81" s="144">
        <f t="shared" si="16"/>
        <v>0</v>
      </c>
    </row>
    <row r="82" spans="1:49" ht="9.75" thickBot="1">
      <c r="A82" s="175"/>
      <c r="B82" s="176"/>
      <c r="C82" s="176"/>
      <c r="D82" s="170" t="str">
        <f t="shared" si="0"/>
        <v xml:space="preserve"> </v>
      </c>
      <c r="E82" s="178"/>
      <c r="F82" s="288">
        <v>0</v>
      </c>
      <c r="G82" s="178">
        <v>37</v>
      </c>
      <c r="H82" s="178">
        <v>37</v>
      </c>
      <c r="I82" s="178"/>
      <c r="J82" s="180"/>
      <c r="K82" s="178"/>
      <c r="L82" s="180"/>
      <c r="M82" s="180"/>
      <c r="N82" s="178"/>
      <c r="O82" s="178"/>
      <c r="P82" s="178"/>
      <c r="Q82" s="171">
        <f>AS82</f>
        <v>0</v>
      </c>
      <c r="R82" s="171">
        <f>AT82</f>
        <v>0</v>
      </c>
      <c r="S82" s="172">
        <f>AU82</f>
        <v>0</v>
      </c>
      <c r="U82" s="144">
        <f>IF(OR(C81=5,C82=5),0,1)</f>
        <v>1</v>
      </c>
      <c r="V82" s="144">
        <f t="shared" si="7"/>
        <v>0</v>
      </c>
      <c r="W82" s="144">
        <f t="shared" si="8"/>
        <v>0</v>
      </c>
      <c r="X82" s="144">
        <f t="shared" si="18"/>
        <v>0</v>
      </c>
      <c r="Y82" s="144">
        <f t="shared" si="10"/>
        <v>31.779800000000002</v>
      </c>
      <c r="Z82" s="169">
        <f t="shared" si="1"/>
        <v>0</v>
      </c>
      <c r="AA82" s="274">
        <f t="shared" si="2"/>
        <v>0</v>
      </c>
      <c r="AB82" s="169">
        <f t="shared" si="11"/>
        <v>0</v>
      </c>
      <c r="AC82" s="274">
        <f t="shared" si="3"/>
        <v>0</v>
      </c>
      <c r="AD82" s="169">
        <f t="shared" si="4"/>
        <v>0</v>
      </c>
      <c r="AE82" s="274">
        <f t="shared" si="5"/>
        <v>0</v>
      </c>
      <c r="AF82" s="169">
        <f t="shared" si="12"/>
        <v>0</v>
      </c>
      <c r="AG82" s="274">
        <f t="shared" si="6"/>
        <v>0</v>
      </c>
      <c r="AH82" s="169">
        <f t="shared" si="13"/>
        <v>0</v>
      </c>
      <c r="AI82" s="169"/>
      <c r="AJ82" s="169">
        <f t="shared" si="14"/>
        <v>0</v>
      </c>
      <c r="AK82" s="169">
        <f t="shared" si="15"/>
        <v>0</v>
      </c>
      <c r="AL82" s="169"/>
      <c r="AM82" s="169">
        <f>AK81*W81+AK82*W82</f>
        <v>0</v>
      </c>
      <c r="AN82" s="169">
        <f>(SUM(AD81:AG81)*W81+SUM(AD82:AG82)*W82)*12*VLOOKUP(C82,JNovergang,3,1)</f>
        <v>0</v>
      </c>
      <c r="AO82" s="169">
        <f>AM82-AN82</f>
        <v>0</v>
      </c>
      <c r="AP82" s="169">
        <f>M82*(100+X82)%</f>
        <v>0</v>
      </c>
      <c r="AQ82" s="274">
        <f>ROUND(M82*F82,2)</f>
        <v>0</v>
      </c>
      <c r="AS82" s="274">
        <f>ROUND((AP82+AQ82)+AM82*(N82/12),0)</f>
        <v>0</v>
      </c>
      <c r="AT82" s="274">
        <f>ROUND(AM82*(O82/12),0)</f>
        <v>0</v>
      </c>
      <c r="AU82" s="274">
        <f>ROUND(AM82*(P82/12)*U82,0)</f>
        <v>0</v>
      </c>
      <c r="AW82" s="144">
        <f t="shared" si="16"/>
        <v>0</v>
      </c>
    </row>
    <row r="83" spans="1:49">
      <c r="A83" s="173"/>
      <c r="B83" s="174"/>
      <c r="C83" s="174"/>
      <c r="D83" s="165" t="str">
        <f t="shared" si="0"/>
        <v xml:space="preserve"> </v>
      </c>
      <c r="E83" s="177"/>
      <c r="F83" s="287">
        <v>0</v>
      </c>
      <c r="G83" s="177">
        <v>37</v>
      </c>
      <c r="H83" s="177">
        <v>37</v>
      </c>
      <c r="I83" s="177"/>
      <c r="J83" s="179"/>
      <c r="K83" s="177"/>
      <c r="L83" s="179"/>
      <c r="M83" s="166"/>
      <c r="N83" s="166"/>
      <c r="O83" s="166"/>
      <c r="P83" s="166"/>
      <c r="Q83" s="167"/>
      <c r="R83" s="167"/>
      <c r="S83" s="168"/>
      <c r="V83" s="144">
        <f t="shared" si="7"/>
        <v>0</v>
      </c>
      <c r="W83" s="144">
        <f t="shared" si="8"/>
        <v>0</v>
      </c>
      <c r="X83" s="144">
        <f t="shared" si="18"/>
        <v>0</v>
      </c>
      <c r="Y83" s="144">
        <f t="shared" si="10"/>
        <v>31.779800000000002</v>
      </c>
      <c r="Z83" s="169">
        <f t="shared" si="1"/>
        <v>0</v>
      </c>
      <c r="AA83" s="274">
        <f t="shared" si="2"/>
        <v>0</v>
      </c>
      <c r="AB83" s="169">
        <f t="shared" si="11"/>
        <v>0</v>
      </c>
      <c r="AC83" s="274">
        <f t="shared" si="3"/>
        <v>0</v>
      </c>
      <c r="AD83" s="169">
        <f t="shared" si="4"/>
        <v>0</v>
      </c>
      <c r="AE83" s="274">
        <f t="shared" si="5"/>
        <v>0</v>
      </c>
      <c r="AF83" s="169">
        <f t="shared" si="12"/>
        <v>0</v>
      </c>
      <c r="AG83" s="274">
        <f t="shared" si="6"/>
        <v>0</v>
      </c>
      <c r="AH83" s="169">
        <f t="shared" si="13"/>
        <v>0</v>
      </c>
      <c r="AI83" s="169"/>
      <c r="AJ83" s="169">
        <f t="shared" si="14"/>
        <v>0</v>
      </c>
      <c r="AK83" s="169">
        <f t="shared" si="15"/>
        <v>0</v>
      </c>
      <c r="AL83" s="169"/>
      <c r="AM83" s="169"/>
      <c r="AN83" s="169"/>
      <c r="AQ83" s="169"/>
      <c r="AW83" s="144">
        <f t="shared" si="16"/>
        <v>0</v>
      </c>
    </row>
    <row r="84" spans="1:49" ht="9.75" thickBot="1">
      <c r="A84" s="175"/>
      <c r="B84" s="176"/>
      <c r="C84" s="176"/>
      <c r="D84" s="170" t="str">
        <f t="shared" si="0"/>
        <v xml:space="preserve"> </v>
      </c>
      <c r="E84" s="178"/>
      <c r="F84" s="288">
        <v>0</v>
      </c>
      <c r="G84" s="178">
        <v>37</v>
      </c>
      <c r="H84" s="178">
        <v>37</v>
      </c>
      <c r="I84" s="178"/>
      <c r="J84" s="180"/>
      <c r="K84" s="178"/>
      <c r="L84" s="180"/>
      <c r="M84" s="180"/>
      <c r="N84" s="178"/>
      <c r="O84" s="178"/>
      <c r="P84" s="178"/>
      <c r="Q84" s="171">
        <f>AS84</f>
        <v>0</v>
      </c>
      <c r="R84" s="171">
        <f>AT84</f>
        <v>0</v>
      </c>
      <c r="S84" s="172">
        <f>AU84</f>
        <v>0</v>
      </c>
      <c r="U84" s="144">
        <f>IF(OR(C83=5,C84=5),0,1)</f>
        <v>1</v>
      </c>
      <c r="V84" s="144">
        <f t="shared" si="7"/>
        <v>0</v>
      </c>
      <c r="W84" s="144">
        <f t="shared" si="8"/>
        <v>0</v>
      </c>
      <c r="X84" s="144">
        <f t="shared" si="18"/>
        <v>0</v>
      </c>
      <c r="Y84" s="144">
        <f t="shared" si="10"/>
        <v>31.779800000000002</v>
      </c>
      <c r="Z84" s="169">
        <f t="shared" si="1"/>
        <v>0</v>
      </c>
      <c r="AA84" s="274">
        <f t="shared" si="2"/>
        <v>0</v>
      </c>
      <c r="AB84" s="169">
        <f t="shared" si="11"/>
        <v>0</v>
      </c>
      <c r="AC84" s="274">
        <f t="shared" si="3"/>
        <v>0</v>
      </c>
      <c r="AD84" s="169">
        <f t="shared" si="4"/>
        <v>0</v>
      </c>
      <c r="AE84" s="274">
        <f t="shared" si="5"/>
        <v>0</v>
      </c>
      <c r="AF84" s="169">
        <f t="shared" si="12"/>
        <v>0</v>
      </c>
      <c r="AG84" s="274">
        <f t="shared" si="6"/>
        <v>0</v>
      </c>
      <c r="AH84" s="169">
        <f t="shared" si="13"/>
        <v>0</v>
      </c>
      <c r="AI84" s="169"/>
      <c r="AJ84" s="169">
        <f t="shared" si="14"/>
        <v>0</v>
      </c>
      <c r="AK84" s="169">
        <f t="shared" si="15"/>
        <v>0</v>
      </c>
      <c r="AL84" s="169"/>
      <c r="AM84" s="169">
        <f>AK83*W83+AK84*W84</f>
        <v>0</v>
      </c>
      <c r="AN84" s="169">
        <f>(SUM(AD83:AG83)*W83+SUM(AD84:AG84)*W84)*12*VLOOKUP(C84,JNovergang,3,1)</f>
        <v>0</v>
      </c>
      <c r="AO84" s="169">
        <f>AM84-AN84</f>
        <v>0</v>
      </c>
      <c r="AP84" s="169">
        <f>M84*(100+X84)%</f>
        <v>0</v>
      </c>
      <c r="AQ84" s="274">
        <f>ROUND(M84*F84,2)</f>
        <v>0</v>
      </c>
      <c r="AS84" s="274">
        <f>ROUND((AP84+AQ84)+AM84*(N84/12),0)</f>
        <v>0</v>
      </c>
      <c r="AT84" s="274">
        <f>ROUND(AM84*(O84/12),0)</f>
        <v>0</v>
      </c>
      <c r="AU84" s="274">
        <f>ROUND(AM84*(P84/12)*U84,0)</f>
        <v>0</v>
      </c>
      <c r="AW84" s="144">
        <f t="shared" si="16"/>
        <v>0</v>
      </c>
    </row>
    <row r="85" spans="1:49">
      <c r="A85" s="173"/>
      <c r="B85" s="174"/>
      <c r="C85" s="174"/>
      <c r="D85" s="165" t="str">
        <f t="shared" si="0"/>
        <v xml:space="preserve"> </v>
      </c>
      <c r="E85" s="177"/>
      <c r="F85" s="287">
        <v>0</v>
      </c>
      <c r="G85" s="177">
        <v>37</v>
      </c>
      <c r="H85" s="177">
        <v>37</v>
      </c>
      <c r="I85" s="177"/>
      <c r="J85" s="179"/>
      <c r="K85" s="177"/>
      <c r="L85" s="179"/>
      <c r="M85" s="166"/>
      <c r="N85" s="166"/>
      <c r="O85" s="166"/>
      <c r="P85" s="166"/>
      <c r="Q85" s="167"/>
      <c r="R85" s="167"/>
      <c r="S85" s="168"/>
      <c r="V85" s="144">
        <f t="shared" si="7"/>
        <v>0</v>
      </c>
      <c r="W85" s="144">
        <f t="shared" si="8"/>
        <v>0</v>
      </c>
      <c r="X85" s="144">
        <f t="shared" si="18"/>
        <v>0</v>
      </c>
      <c r="Y85" s="144">
        <f t="shared" si="10"/>
        <v>31.779800000000002</v>
      </c>
      <c r="Z85" s="169">
        <f t="shared" ref="Z85:Z148" si="19">ROUND(VLOOKUP(I85,TabelLønninger,VLOOKUP(E85,TabelLøntabel,2,1),1)*G85/H85,2)</f>
        <v>0</v>
      </c>
      <c r="AA85" s="274">
        <f t="shared" ref="AA85:AA148" si="20">ROUND(VLOOKUP(I85,TabelLønninger,VLOOKUP(E85,TabelPensgivLøn,2))*F85/12*G85/H85,2)</f>
        <v>0</v>
      </c>
      <c r="AB85" s="169">
        <f t="shared" si="11"/>
        <v>0</v>
      </c>
      <c r="AC85" s="274">
        <f t="shared" ref="AC85:AC148" si="21">ROUND(AB85*F85,2)</f>
        <v>0</v>
      </c>
      <c r="AD85" s="169">
        <f t="shared" ref="AD85:AD148" si="22">ROUND(VLOOKUP(I85+K85,TabelLønninger,VLOOKUP(E85,TabelLøntabel,2,1),1)*G85/H85,2)-Z85</f>
        <v>0</v>
      </c>
      <c r="AE85" s="274">
        <f t="shared" ref="AE85:AE148" si="23">ROUND(VLOOKUP(I85+K85,TabelLønninger,VLOOKUP(E85,TabelPensgivLøn,2))*F85/12*G85/H85,2)-AA85</f>
        <v>0</v>
      </c>
      <c r="AF85" s="169">
        <f t="shared" si="12"/>
        <v>0</v>
      </c>
      <c r="AG85" s="274">
        <f t="shared" ref="AG85:AG148" si="24">ROUND(AF85*F85,2)</f>
        <v>0</v>
      </c>
      <c r="AH85" s="169">
        <f t="shared" si="13"/>
        <v>0</v>
      </c>
      <c r="AI85" s="169"/>
      <c r="AJ85" s="169">
        <f t="shared" si="14"/>
        <v>0</v>
      </c>
      <c r="AK85" s="169">
        <f t="shared" si="15"/>
        <v>0</v>
      </c>
      <c r="AL85" s="169"/>
      <c r="AM85" s="169"/>
      <c r="AN85" s="169"/>
      <c r="AQ85" s="169"/>
      <c r="AW85" s="144">
        <f t="shared" si="16"/>
        <v>0</v>
      </c>
    </row>
    <row r="86" spans="1:49" ht="9.75" thickBot="1">
      <c r="A86" s="175"/>
      <c r="B86" s="176"/>
      <c r="C86" s="176"/>
      <c r="D86" s="170" t="str">
        <f>VLOOKUP(C86,Tabelændringskode,2,1)</f>
        <v xml:space="preserve"> </v>
      </c>
      <c r="E86" s="178"/>
      <c r="F86" s="288">
        <v>0</v>
      </c>
      <c r="G86" s="178">
        <v>37</v>
      </c>
      <c r="H86" s="178">
        <v>37</v>
      </c>
      <c r="I86" s="178"/>
      <c r="J86" s="180"/>
      <c r="K86" s="178"/>
      <c r="L86" s="180"/>
      <c r="M86" s="180"/>
      <c r="N86" s="178"/>
      <c r="O86" s="178"/>
      <c r="P86" s="178"/>
      <c r="Q86" s="171">
        <f>AS86</f>
        <v>0</v>
      </c>
      <c r="R86" s="171">
        <f>AT86</f>
        <v>0</v>
      </c>
      <c r="S86" s="172">
        <f>AU86</f>
        <v>0</v>
      </c>
      <c r="U86" s="144">
        <f>IF(OR(C85=5,C86=5),0,1)</f>
        <v>1</v>
      </c>
      <c r="V86" s="144">
        <f t="shared" ref="V86:V149" si="25">VLOOKUP(C86,TabelRammeforbrug,3,1)</f>
        <v>0</v>
      </c>
      <c r="W86" s="144">
        <f t="shared" ref="W86:W149" si="26">VLOOKUP(C86,FraTil,3,1)</f>
        <v>0</v>
      </c>
      <c r="X86" s="144">
        <f t="shared" si="18"/>
        <v>0</v>
      </c>
      <c r="Y86" s="144">
        <f t="shared" ref="Y86:Y149" si="27">VLOOKUP(E86,TabelPctReg,2)</f>
        <v>31.779800000000002</v>
      </c>
      <c r="Z86" s="169">
        <f t="shared" si="19"/>
        <v>0</v>
      </c>
      <c r="AA86" s="274">
        <f t="shared" si="20"/>
        <v>0</v>
      </c>
      <c r="AB86" s="169">
        <f t="shared" ref="AB86:AB149" si="28">ROUND(J86/12*(1+Y86%),2)*G86/H86</f>
        <v>0</v>
      </c>
      <c r="AC86" s="274">
        <f t="shared" si="21"/>
        <v>0</v>
      </c>
      <c r="AD86" s="169">
        <f t="shared" si="22"/>
        <v>0</v>
      </c>
      <c r="AE86" s="274">
        <f t="shared" si="23"/>
        <v>0</v>
      </c>
      <c r="AF86" s="169">
        <f t="shared" ref="AF86:AF149" si="29">ROUND(L86/12*(1+Y86%),2)*G86/H86</f>
        <v>0</v>
      </c>
      <c r="AG86" s="274">
        <f t="shared" si="24"/>
        <v>0</v>
      </c>
      <c r="AH86" s="169">
        <f t="shared" ref="AH86:AH149" si="30">ROUND((Z86+AB86+AD86+AF86)*X86%,2)</f>
        <v>0</v>
      </c>
      <c r="AI86" s="169"/>
      <c r="AJ86" s="169">
        <f t="shared" ref="AJ86:AJ149" si="31">SUM(Z86:AH86)</f>
        <v>0</v>
      </c>
      <c r="AK86" s="169">
        <f t="shared" ref="AK86:AK149" si="32">AJ86*12</f>
        <v>0</v>
      </c>
      <c r="AL86" s="169"/>
      <c r="AM86" s="169">
        <f>AK85*W85+AK86*W86</f>
        <v>0</v>
      </c>
      <c r="AN86" s="169">
        <f>(SUM(AD85:AG85)*W85+SUM(AD86:AG86)*W86)*12*VLOOKUP(C86,JNovergang,3,1)</f>
        <v>0</v>
      </c>
      <c r="AO86" s="169">
        <f>AM86-AN86</f>
        <v>0</v>
      </c>
      <c r="AP86" s="169">
        <f>M86*(100+X86)%</f>
        <v>0</v>
      </c>
      <c r="AQ86" s="274">
        <f>ROUND(M86*F86,2)</f>
        <v>0</v>
      </c>
      <c r="AS86" s="274">
        <f>ROUND((AP86+AQ86)+AM86*(N86/12),0)</f>
        <v>0</v>
      </c>
      <c r="AT86" s="274">
        <f>ROUND(AM86*(O86/12),0)</f>
        <v>0</v>
      </c>
      <c r="AU86" s="274">
        <f>ROUND(AM86*(P86/12)*U86,0)</f>
        <v>0</v>
      </c>
      <c r="AW86" s="144">
        <f t="shared" ref="AW86:AW149" si="33">IF(ISNUMBER(C86),ROW(),0)</f>
        <v>0</v>
      </c>
    </row>
    <row r="87" spans="1:49">
      <c r="A87" s="173"/>
      <c r="B87" s="174"/>
      <c r="C87" s="174"/>
      <c r="D87" s="165" t="str">
        <f t="shared" si="0"/>
        <v xml:space="preserve"> </v>
      </c>
      <c r="E87" s="177"/>
      <c r="F87" s="287">
        <v>0</v>
      </c>
      <c r="G87" s="177">
        <v>37</v>
      </c>
      <c r="H87" s="177">
        <v>37</v>
      </c>
      <c r="I87" s="177"/>
      <c r="J87" s="179"/>
      <c r="K87" s="177"/>
      <c r="L87" s="179"/>
      <c r="M87" s="166"/>
      <c r="N87" s="166"/>
      <c r="O87" s="166"/>
      <c r="P87" s="166"/>
      <c r="Q87" s="167"/>
      <c r="R87" s="167"/>
      <c r="S87" s="168"/>
      <c r="V87" s="144">
        <f t="shared" si="25"/>
        <v>0</v>
      </c>
      <c r="W87" s="144">
        <f t="shared" si="26"/>
        <v>0</v>
      </c>
      <c r="X87" s="144">
        <f t="shared" si="18"/>
        <v>0</v>
      </c>
      <c r="Y87" s="144">
        <f t="shared" si="27"/>
        <v>31.779800000000002</v>
      </c>
      <c r="Z87" s="169">
        <f t="shared" si="19"/>
        <v>0</v>
      </c>
      <c r="AA87" s="274">
        <f t="shared" si="20"/>
        <v>0</v>
      </c>
      <c r="AB87" s="169">
        <f t="shared" si="28"/>
        <v>0</v>
      </c>
      <c r="AC87" s="274">
        <f t="shared" si="21"/>
        <v>0</v>
      </c>
      <c r="AD87" s="169">
        <f t="shared" si="22"/>
        <v>0</v>
      </c>
      <c r="AE87" s="274">
        <f t="shared" si="23"/>
        <v>0</v>
      </c>
      <c r="AF87" s="169">
        <f t="shared" si="29"/>
        <v>0</v>
      </c>
      <c r="AG87" s="274">
        <f t="shared" si="24"/>
        <v>0</v>
      </c>
      <c r="AH87" s="169">
        <f t="shared" si="30"/>
        <v>0</v>
      </c>
      <c r="AI87" s="169"/>
      <c r="AJ87" s="169">
        <f t="shared" si="31"/>
        <v>0</v>
      </c>
      <c r="AK87" s="169">
        <f t="shared" si="32"/>
        <v>0</v>
      </c>
      <c r="AL87" s="169"/>
      <c r="AM87" s="169"/>
      <c r="AN87" s="169"/>
      <c r="AQ87" s="169"/>
      <c r="AW87" s="144">
        <f t="shared" si="33"/>
        <v>0</v>
      </c>
    </row>
    <row r="88" spans="1:49" ht="9.75" thickBot="1">
      <c r="A88" s="175"/>
      <c r="B88" s="176"/>
      <c r="C88" s="176"/>
      <c r="D88" s="170" t="str">
        <f>VLOOKUP(C88,Tabelændringskode,2,1)</f>
        <v xml:space="preserve"> </v>
      </c>
      <c r="E88" s="178"/>
      <c r="F88" s="288">
        <v>0</v>
      </c>
      <c r="G88" s="178">
        <v>37</v>
      </c>
      <c r="H88" s="178">
        <v>37</v>
      </c>
      <c r="I88" s="178"/>
      <c r="J88" s="180"/>
      <c r="K88" s="178"/>
      <c r="L88" s="180"/>
      <c r="M88" s="180"/>
      <c r="N88" s="178"/>
      <c r="O88" s="178"/>
      <c r="P88" s="178"/>
      <c r="Q88" s="171">
        <f>AS88</f>
        <v>0</v>
      </c>
      <c r="R88" s="171">
        <f>AT88</f>
        <v>0</v>
      </c>
      <c r="S88" s="172">
        <f>AU88</f>
        <v>0</v>
      </c>
      <c r="U88" s="144">
        <f>IF(OR(C87=5,C88=5),0,1)</f>
        <v>1</v>
      </c>
      <c r="V88" s="144">
        <f t="shared" si="25"/>
        <v>0</v>
      </c>
      <c r="W88" s="144">
        <f t="shared" si="26"/>
        <v>0</v>
      </c>
      <c r="X88" s="144">
        <f t="shared" si="18"/>
        <v>0</v>
      </c>
      <c r="Y88" s="144">
        <f t="shared" si="27"/>
        <v>31.779800000000002</v>
      </c>
      <c r="Z88" s="169">
        <f t="shared" si="19"/>
        <v>0</v>
      </c>
      <c r="AA88" s="274">
        <f t="shared" si="20"/>
        <v>0</v>
      </c>
      <c r="AB88" s="169">
        <f t="shared" si="28"/>
        <v>0</v>
      </c>
      <c r="AC88" s="274">
        <f t="shared" si="21"/>
        <v>0</v>
      </c>
      <c r="AD88" s="169">
        <f t="shared" si="22"/>
        <v>0</v>
      </c>
      <c r="AE88" s="274">
        <f t="shared" si="23"/>
        <v>0</v>
      </c>
      <c r="AF88" s="169">
        <f t="shared" si="29"/>
        <v>0</v>
      </c>
      <c r="AG88" s="274">
        <f t="shared" si="24"/>
        <v>0</v>
      </c>
      <c r="AH88" s="169">
        <f t="shared" si="30"/>
        <v>0</v>
      </c>
      <c r="AI88" s="169"/>
      <c r="AJ88" s="169">
        <f t="shared" si="31"/>
        <v>0</v>
      </c>
      <c r="AK88" s="169">
        <f t="shared" si="32"/>
        <v>0</v>
      </c>
      <c r="AL88" s="169"/>
      <c r="AM88" s="169">
        <f>AK87*W87+AK88*W88</f>
        <v>0</v>
      </c>
      <c r="AN88" s="169">
        <f>(SUM(AD87:AG87)*W87+SUM(AD88:AG88)*W88)*12*VLOOKUP(C88,JNovergang,3,1)</f>
        <v>0</v>
      </c>
      <c r="AO88" s="169">
        <f>AM88-AN88</f>
        <v>0</v>
      </c>
      <c r="AP88" s="169">
        <f>M88*(100+X88)%</f>
        <v>0</v>
      </c>
      <c r="AQ88" s="274">
        <f>ROUND(M88*F88,2)</f>
        <v>0</v>
      </c>
      <c r="AS88" s="274">
        <f>ROUND((AP88+AQ88)+AM88*(N88/12),0)</f>
        <v>0</v>
      </c>
      <c r="AT88" s="274">
        <f>ROUND(AM88*(O88/12),0)</f>
        <v>0</v>
      </c>
      <c r="AU88" s="274">
        <f>ROUND(AM88*(P88/12)*U88,0)</f>
        <v>0</v>
      </c>
      <c r="AW88" s="144">
        <f t="shared" si="33"/>
        <v>0</v>
      </c>
    </row>
    <row r="89" spans="1:49">
      <c r="A89" s="173"/>
      <c r="B89" s="174"/>
      <c r="C89" s="174"/>
      <c r="D89" s="165" t="str">
        <f t="shared" si="0"/>
        <v xml:space="preserve"> </v>
      </c>
      <c r="E89" s="177"/>
      <c r="F89" s="287">
        <v>0</v>
      </c>
      <c r="G89" s="177">
        <v>37</v>
      </c>
      <c r="H89" s="177">
        <v>37</v>
      </c>
      <c r="I89" s="177"/>
      <c r="J89" s="179"/>
      <c r="K89" s="177"/>
      <c r="L89" s="179"/>
      <c r="M89" s="166"/>
      <c r="N89" s="166"/>
      <c r="O89" s="166"/>
      <c r="P89" s="166"/>
      <c r="Q89" s="167"/>
      <c r="R89" s="167"/>
      <c r="S89" s="168"/>
      <c r="V89" s="144">
        <f t="shared" si="25"/>
        <v>0</v>
      </c>
      <c r="W89" s="144">
        <f t="shared" si="26"/>
        <v>0</v>
      </c>
      <c r="X89" s="144">
        <f t="shared" si="18"/>
        <v>0</v>
      </c>
      <c r="Y89" s="144">
        <f t="shared" si="27"/>
        <v>31.779800000000002</v>
      </c>
      <c r="Z89" s="169">
        <f t="shared" si="19"/>
        <v>0</v>
      </c>
      <c r="AA89" s="274">
        <f t="shared" si="20"/>
        <v>0</v>
      </c>
      <c r="AB89" s="169">
        <f t="shared" si="28"/>
        <v>0</v>
      </c>
      <c r="AC89" s="274">
        <f t="shared" si="21"/>
        <v>0</v>
      </c>
      <c r="AD89" s="169">
        <f t="shared" si="22"/>
        <v>0</v>
      </c>
      <c r="AE89" s="274">
        <f t="shared" si="23"/>
        <v>0</v>
      </c>
      <c r="AF89" s="169">
        <f t="shared" si="29"/>
        <v>0</v>
      </c>
      <c r="AG89" s="274">
        <f t="shared" si="24"/>
        <v>0</v>
      </c>
      <c r="AH89" s="169">
        <f t="shared" si="30"/>
        <v>0</v>
      </c>
      <c r="AI89" s="169"/>
      <c r="AJ89" s="169">
        <f t="shared" si="31"/>
        <v>0</v>
      </c>
      <c r="AK89" s="169">
        <f t="shared" si="32"/>
        <v>0</v>
      </c>
      <c r="AL89" s="169"/>
      <c r="AM89" s="169"/>
      <c r="AN89" s="169"/>
      <c r="AQ89" s="169"/>
      <c r="AW89" s="144">
        <f t="shared" si="33"/>
        <v>0</v>
      </c>
    </row>
    <row r="90" spans="1:49" ht="9.75" thickBot="1">
      <c r="A90" s="175"/>
      <c r="B90" s="176"/>
      <c r="C90" s="176"/>
      <c r="D90" s="170" t="str">
        <f>VLOOKUP(C90,Tabelændringskode,2,1)</f>
        <v xml:space="preserve"> </v>
      </c>
      <c r="E90" s="178"/>
      <c r="F90" s="288">
        <v>0</v>
      </c>
      <c r="G90" s="178">
        <v>37</v>
      </c>
      <c r="H90" s="178">
        <v>37</v>
      </c>
      <c r="I90" s="178"/>
      <c r="J90" s="180"/>
      <c r="K90" s="178"/>
      <c r="L90" s="180"/>
      <c r="M90" s="180"/>
      <c r="N90" s="178"/>
      <c r="O90" s="178"/>
      <c r="P90" s="178"/>
      <c r="Q90" s="171">
        <f>AS90</f>
        <v>0</v>
      </c>
      <c r="R90" s="171">
        <f>AT90</f>
        <v>0</v>
      </c>
      <c r="S90" s="172">
        <f>AU90</f>
        <v>0</v>
      </c>
      <c r="U90" s="144">
        <f>IF(OR(C89=5,C90=5),0,1)</f>
        <v>1</v>
      </c>
      <c r="V90" s="144">
        <f t="shared" si="25"/>
        <v>0</v>
      </c>
      <c r="W90" s="144">
        <f t="shared" si="26"/>
        <v>0</v>
      </c>
      <c r="X90" s="144">
        <f t="shared" si="18"/>
        <v>0</v>
      </c>
      <c r="Y90" s="144">
        <f t="shared" si="27"/>
        <v>31.779800000000002</v>
      </c>
      <c r="Z90" s="169">
        <f t="shared" si="19"/>
        <v>0</v>
      </c>
      <c r="AA90" s="274">
        <f t="shared" si="20"/>
        <v>0</v>
      </c>
      <c r="AB90" s="169">
        <f t="shared" si="28"/>
        <v>0</v>
      </c>
      <c r="AC90" s="274">
        <f t="shared" si="21"/>
        <v>0</v>
      </c>
      <c r="AD90" s="169">
        <f t="shared" si="22"/>
        <v>0</v>
      </c>
      <c r="AE90" s="274">
        <f t="shared" si="23"/>
        <v>0</v>
      </c>
      <c r="AF90" s="169">
        <f t="shared" si="29"/>
        <v>0</v>
      </c>
      <c r="AG90" s="274">
        <f t="shared" si="24"/>
        <v>0</v>
      </c>
      <c r="AH90" s="169">
        <f t="shared" si="30"/>
        <v>0</v>
      </c>
      <c r="AI90" s="169"/>
      <c r="AJ90" s="169">
        <f t="shared" si="31"/>
        <v>0</v>
      </c>
      <c r="AK90" s="169">
        <f t="shared" si="32"/>
        <v>0</v>
      </c>
      <c r="AL90" s="169"/>
      <c r="AM90" s="169">
        <f>AK89*W89+AK90*W90</f>
        <v>0</v>
      </c>
      <c r="AN90" s="169">
        <f>(SUM(AD89:AG89)*W89+SUM(AD90:AG90)*W90)*12*VLOOKUP(C90,JNovergang,3,1)</f>
        <v>0</v>
      </c>
      <c r="AO90" s="169">
        <f>AM90-AN90</f>
        <v>0</v>
      </c>
      <c r="AP90" s="169">
        <f>M90*(100+X90)%</f>
        <v>0</v>
      </c>
      <c r="AQ90" s="274">
        <f>ROUND(M90*F90,2)</f>
        <v>0</v>
      </c>
      <c r="AS90" s="274">
        <f>ROUND((AP90+AQ90)+AM90*(N90/12),0)</f>
        <v>0</v>
      </c>
      <c r="AT90" s="274">
        <f>ROUND(AM90*(O90/12),0)</f>
        <v>0</v>
      </c>
      <c r="AU90" s="274">
        <f>ROUND(AM90*(P90/12)*U90,0)</f>
        <v>0</v>
      </c>
      <c r="AW90" s="144">
        <f t="shared" si="33"/>
        <v>0</v>
      </c>
    </row>
    <row r="91" spans="1:49">
      <c r="A91" s="173"/>
      <c r="B91" s="174"/>
      <c r="C91" s="174"/>
      <c r="D91" s="165" t="str">
        <f t="shared" si="0"/>
        <v xml:space="preserve"> </v>
      </c>
      <c r="E91" s="177"/>
      <c r="F91" s="287">
        <v>0</v>
      </c>
      <c r="G91" s="177">
        <v>37</v>
      </c>
      <c r="H91" s="177">
        <v>37</v>
      </c>
      <c r="I91" s="177"/>
      <c r="J91" s="179"/>
      <c r="K91" s="177"/>
      <c r="L91" s="179"/>
      <c r="M91" s="166"/>
      <c r="N91" s="166"/>
      <c r="O91" s="166"/>
      <c r="P91" s="166"/>
      <c r="Q91" s="167"/>
      <c r="R91" s="167"/>
      <c r="S91" s="168"/>
      <c r="V91" s="144">
        <f t="shared" si="25"/>
        <v>0</v>
      </c>
      <c r="W91" s="144">
        <f t="shared" si="26"/>
        <v>0</v>
      </c>
      <c r="X91" s="144">
        <f t="shared" si="18"/>
        <v>0</v>
      </c>
      <c r="Y91" s="144">
        <f t="shared" si="27"/>
        <v>31.779800000000002</v>
      </c>
      <c r="Z91" s="169">
        <f t="shared" si="19"/>
        <v>0</v>
      </c>
      <c r="AA91" s="274">
        <f t="shared" si="20"/>
        <v>0</v>
      </c>
      <c r="AB91" s="169">
        <f t="shared" si="28"/>
        <v>0</v>
      </c>
      <c r="AC91" s="274">
        <f t="shared" si="21"/>
        <v>0</v>
      </c>
      <c r="AD91" s="169">
        <f t="shared" si="22"/>
        <v>0</v>
      </c>
      <c r="AE91" s="274">
        <f t="shared" si="23"/>
        <v>0</v>
      </c>
      <c r="AF91" s="169">
        <f t="shared" si="29"/>
        <v>0</v>
      </c>
      <c r="AG91" s="274">
        <f t="shared" si="24"/>
        <v>0</v>
      </c>
      <c r="AH91" s="169">
        <f t="shared" si="30"/>
        <v>0</v>
      </c>
      <c r="AI91" s="169"/>
      <c r="AJ91" s="169">
        <f t="shared" si="31"/>
        <v>0</v>
      </c>
      <c r="AK91" s="169">
        <f t="shared" si="32"/>
        <v>0</v>
      </c>
      <c r="AL91" s="169"/>
      <c r="AM91" s="169"/>
      <c r="AN91" s="169"/>
      <c r="AQ91" s="169"/>
      <c r="AW91" s="144">
        <f t="shared" si="33"/>
        <v>0</v>
      </c>
    </row>
    <row r="92" spans="1:49" ht="9.75" thickBot="1">
      <c r="A92" s="175"/>
      <c r="B92" s="176"/>
      <c r="C92" s="176"/>
      <c r="D92" s="170" t="str">
        <f>VLOOKUP(C92,Tabelændringskode,2,1)</f>
        <v xml:space="preserve"> </v>
      </c>
      <c r="E92" s="178"/>
      <c r="F92" s="288">
        <v>0</v>
      </c>
      <c r="G92" s="178">
        <v>37</v>
      </c>
      <c r="H92" s="178">
        <v>37</v>
      </c>
      <c r="I92" s="178"/>
      <c r="J92" s="180"/>
      <c r="K92" s="178"/>
      <c r="L92" s="180"/>
      <c r="M92" s="180"/>
      <c r="N92" s="178"/>
      <c r="O92" s="178"/>
      <c r="P92" s="178"/>
      <c r="Q92" s="171">
        <f>AS92</f>
        <v>0</v>
      </c>
      <c r="R92" s="171">
        <f>AT92</f>
        <v>0</v>
      </c>
      <c r="S92" s="172">
        <f>AU92</f>
        <v>0</v>
      </c>
      <c r="U92" s="144">
        <f>IF(OR(C91=5,C92=5),0,1)</f>
        <v>1</v>
      </c>
      <c r="V92" s="144">
        <f t="shared" si="25"/>
        <v>0</v>
      </c>
      <c r="W92" s="144">
        <f t="shared" si="26"/>
        <v>0</v>
      </c>
      <c r="X92" s="144">
        <f t="shared" si="18"/>
        <v>0</v>
      </c>
      <c r="Y92" s="144">
        <f t="shared" si="27"/>
        <v>31.779800000000002</v>
      </c>
      <c r="Z92" s="169">
        <f t="shared" si="19"/>
        <v>0</v>
      </c>
      <c r="AA92" s="274">
        <f t="shared" si="20"/>
        <v>0</v>
      </c>
      <c r="AB92" s="169">
        <f t="shared" si="28"/>
        <v>0</v>
      </c>
      <c r="AC92" s="274">
        <f t="shared" si="21"/>
        <v>0</v>
      </c>
      <c r="AD92" s="169">
        <f t="shared" si="22"/>
        <v>0</v>
      </c>
      <c r="AE92" s="274">
        <f t="shared" si="23"/>
        <v>0</v>
      </c>
      <c r="AF92" s="169">
        <f t="shared" si="29"/>
        <v>0</v>
      </c>
      <c r="AG92" s="274">
        <f t="shared" si="24"/>
        <v>0</v>
      </c>
      <c r="AH92" s="169">
        <f t="shared" si="30"/>
        <v>0</v>
      </c>
      <c r="AI92" s="169"/>
      <c r="AJ92" s="169">
        <f t="shared" si="31"/>
        <v>0</v>
      </c>
      <c r="AK92" s="169">
        <f t="shared" si="32"/>
        <v>0</v>
      </c>
      <c r="AL92" s="169"/>
      <c r="AM92" s="169">
        <f>AK91*W91+AK92*W92</f>
        <v>0</v>
      </c>
      <c r="AN92" s="169">
        <f>(SUM(AD91:AG91)*W91+SUM(AD92:AG92)*W92)*12*VLOOKUP(C92,JNovergang,3,1)</f>
        <v>0</v>
      </c>
      <c r="AO92" s="169">
        <f>AM92-AN92</f>
        <v>0</v>
      </c>
      <c r="AP92" s="169">
        <f>M92*(100+X92)%</f>
        <v>0</v>
      </c>
      <c r="AQ92" s="274">
        <f>ROUND(M92*F92,2)</f>
        <v>0</v>
      </c>
      <c r="AS92" s="274">
        <f>ROUND((AP92+AQ92)+AM92*(N92/12),0)</f>
        <v>0</v>
      </c>
      <c r="AT92" s="274">
        <f>ROUND(AM92*(O92/12),0)</f>
        <v>0</v>
      </c>
      <c r="AU92" s="274">
        <f>ROUND(AM92*(P92/12)*U92,0)</f>
        <v>0</v>
      </c>
      <c r="AW92" s="144">
        <f t="shared" si="33"/>
        <v>0</v>
      </c>
    </row>
    <row r="93" spans="1:49">
      <c r="A93" s="173"/>
      <c r="B93" s="174"/>
      <c r="C93" s="174"/>
      <c r="D93" s="165" t="str">
        <f t="shared" si="0"/>
        <v xml:space="preserve"> </v>
      </c>
      <c r="E93" s="177"/>
      <c r="F93" s="287">
        <v>0</v>
      </c>
      <c r="G93" s="177">
        <v>37</v>
      </c>
      <c r="H93" s="177">
        <v>37</v>
      </c>
      <c r="I93" s="177"/>
      <c r="J93" s="179"/>
      <c r="K93" s="177"/>
      <c r="L93" s="179"/>
      <c r="M93" s="166"/>
      <c r="N93" s="166"/>
      <c r="O93" s="166"/>
      <c r="P93" s="166"/>
      <c r="Q93" s="167"/>
      <c r="R93" s="167"/>
      <c r="S93" s="168"/>
      <c r="V93" s="144">
        <f t="shared" si="25"/>
        <v>0</v>
      </c>
      <c r="W93" s="144">
        <f t="shared" si="26"/>
        <v>0</v>
      </c>
      <c r="X93" s="144">
        <f t="shared" si="18"/>
        <v>0</v>
      </c>
      <c r="Y93" s="144">
        <f t="shared" si="27"/>
        <v>31.779800000000002</v>
      </c>
      <c r="Z93" s="169">
        <f t="shared" si="19"/>
        <v>0</v>
      </c>
      <c r="AA93" s="274">
        <f t="shared" si="20"/>
        <v>0</v>
      </c>
      <c r="AB93" s="169">
        <f t="shared" si="28"/>
        <v>0</v>
      </c>
      <c r="AC93" s="274">
        <f t="shared" si="21"/>
        <v>0</v>
      </c>
      <c r="AD93" s="169">
        <f t="shared" si="22"/>
        <v>0</v>
      </c>
      <c r="AE93" s="274">
        <f t="shared" si="23"/>
        <v>0</v>
      </c>
      <c r="AF93" s="169">
        <f t="shared" si="29"/>
        <v>0</v>
      </c>
      <c r="AG93" s="274">
        <f t="shared" si="24"/>
        <v>0</v>
      </c>
      <c r="AH93" s="169">
        <f t="shared" si="30"/>
        <v>0</v>
      </c>
      <c r="AI93" s="169"/>
      <c r="AJ93" s="169">
        <f t="shared" si="31"/>
        <v>0</v>
      </c>
      <c r="AK93" s="169">
        <f t="shared" si="32"/>
        <v>0</v>
      </c>
      <c r="AL93" s="169"/>
      <c r="AM93" s="169"/>
      <c r="AN93" s="169"/>
      <c r="AQ93" s="169"/>
      <c r="AW93" s="144">
        <f t="shared" si="33"/>
        <v>0</v>
      </c>
    </row>
    <row r="94" spans="1:49" ht="9.75" thickBot="1">
      <c r="A94" s="175"/>
      <c r="B94" s="176"/>
      <c r="C94" s="176"/>
      <c r="D94" s="170" t="str">
        <f>VLOOKUP(C94,Tabelændringskode,2,1)</f>
        <v xml:space="preserve"> </v>
      </c>
      <c r="E94" s="178"/>
      <c r="F94" s="288">
        <v>0</v>
      </c>
      <c r="G94" s="178">
        <v>37</v>
      </c>
      <c r="H94" s="178">
        <v>37</v>
      </c>
      <c r="I94" s="178"/>
      <c r="J94" s="180"/>
      <c r="K94" s="178"/>
      <c r="L94" s="180"/>
      <c r="M94" s="180"/>
      <c r="N94" s="178"/>
      <c r="O94" s="178"/>
      <c r="P94" s="178"/>
      <c r="Q94" s="171">
        <f>AS94</f>
        <v>0</v>
      </c>
      <c r="R94" s="171">
        <f>AT94</f>
        <v>0</v>
      </c>
      <c r="S94" s="172">
        <f>AU94</f>
        <v>0</v>
      </c>
      <c r="U94" s="144">
        <f>IF(OR(C93=5,C94=5),0,1)</f>
        <v>1</v>
      </c>
      <c r="V94" s="144">
        <f t="shared" si="25"/>
        <v>0</v>
      </c>
      <c r="W94" s="144">
        <f t="shared" si="26"/>
        <v>0</v>
      </c>
      <c r="X94" s="144">
        <f t="shared" si="18"/>
        <v>0</v>
      </c>
      <c r="Y94" s="144">
        <f t="shared" si="27"/>
        <v>31.779800000000002</v>
      </c>
      <c r="Z94" s="169">
        <f t="shared" si="19"/>
        <v>0</v>
      </c>
      <c r="AA94" s="274">
        <f t="shared" si="20"/>
        <v>0</v>
      </c>
      <c r="AB94" s="169">
        <f t="shared" si="28"/>
        <v>0</v>
      </c>
      <c r="AC94" s="274">
        <f t="shared" si="21"/>
        <v>0</v>
      </c>
      <c r="AD94" s="169">
        <f t="shared" si="22"/>
        <v>0</v>
      </c>
      <c r="AE94" s="274">
        <f t="shared" si="23"/>
        <v>0</v>
      </c>
      <c r="AF94" s="169">
        <f t="shared" si="29"/>
        <v>0</v>
      </c>
      <c r="AG94" s="274">
        <f t="shared" si="24"/>
        <v>0</v>
      </c>
      <c r="AH94" s="169">
        <f t="shared" si="30"/>
        <v>0</v>
      </c>
      <c r="AI94" s="169"/>
      <c r="AJ94" s="169">
        <f t="shared" si="31"/>
        <v>0</v>
      </c>
      <c r="AK94" s="169">
        <f t="shared" si="32"/>
        <v>0</v>
      </c>
      <c r="AL94" s="169"/>
      <c r="AM94" s="169">
        <f>AK93*W93+AK94*W94</f>
        <v>0</v>
      </c>
      <c r="AN94" s="169">
        <f>(SUM(AD93:AG93)*W93+SUM(AD94:AG94)*W94)*12*VLOOKUP(C94,JNovergang,3,1)</f>
        <v>0</v>
      </c>
      <c r="AO94" s="169">
        <f>AM94-AN94</f>
        <v>0</v>
      </c>
      <c r="AP94" s="169">
        <f>M94*(100+X94)%</f>
        <v>0</v>
      </c>
      <c r="AQ94" s="274">
        <f>ROUND(M94*F94,2)</f>
        <v>0</v>
      </c>
      <c r="AS94" s="274">
        <f>ROUND((AP94+AQ94)+AM94*(N94/12),0)</f>
        <v>0</v>
      </c>
      <c r="AT94" s="274">
        <f>ROUND(AM94*(O94/12),0)</f>
        <v>0</v>
      </c>
      <c r="AU94" s="274">
        <f>ROUND(AM94*(P94/12)*U94,0)</f>
        <v>0</v>
      </c>
      <c r="AW94" s="144">
        <f t="shared" si="33"/>
        <v>0</v>
      </c>
    </row>
    <row r="95" spans="1:49">
      <c r="A95" s="173"/>
      <c r="B95" s="174"/>
      <c r="C95" s="174"/>
      <c r="D95" s="165" t="str">
        <f t="shared" si="0"/>
        <v xml:space="preserve"> </v>
      </c>
      <c r="E95" s="177"/>
      <c r="F95" s="287">
        <v>0</v>
      </c>
      <c r="G95" s="177">
        <v>37</v>
      </c>
      <c r="H95" s="177">
        <v>37</v>
      </c>
      <c r="I95" s="177"/>
      <c r="J95" s="179"/>
      <c r="K95" s="177"/>
      <c r="L95" s="179"/>
      <c r="M95" s="166"/>
      <c r="N95" s="166"/>
      <c r="O95" s="166"/>
      <c r="P95" s="166"/>
      <c r="Q95" s="167"/>
      <c r="R95" s="167"/>
      <c r="S95" s="168"/>
      <c r="V95" s="144">
        <f t="shared" si="25"/>
        <v>0</v>
      </c>
      <c r="W95" s="144">
        <f t="shared" si="26"/>
        <v>0</v>
      </c>
      <c r="X95" s="144">
        <f t="shared" si="18"/>
        <v>0</v>
      </c>
      <c r="Y95" s="144">
        <f t="shared" si="27"/>
        <v>31.779800000000002</v>
      </c>
      <c r="Z95" s="169">
        <f t="shared" si="19"/>
        <v>0</v>
      </c>
      <c r="AA95" s="274">
        <f t="shared" si="20"/>
        <v>0</v>
      </c>
      <c r="AB95" s="169">
        <f t="shared" si="28"/>
        <v>0</v>
      </c>
      <c r="AC95" s="274">
        <f t="shared" si="21"/>
        <v>0</v>
      </c>
      <c r="AD95" s="169">
        <f t="shared" si="22"/>
        <v>0</v>
      </c>
      <c r="AE95" s="274">
        <f t="shared" si="23"/>
        <v>0</v>
      </c>
      <c r="AF95" s="169">
        <f t="shared" si="29"/>
        <v>0</v>
      </c>
      <c r="AG95" s="274">
        <f t="shared" si="24"/>
        <v>0</v>
      </c>
      <c r="AH95" s="169">
        <f t="shared" si="30"/>
        <v>0</v>
      </c>
      <c r="AI95" s="169"/>
      <c r="AJ95" s="169">
        <f t="shared" si="31"/>
        <v>0</v>
      </c>
      <c r="AK95" s="169">
        <f t="shared" si="32"/>
        <v>0</v>
      </c>
      <c r="AL95" s="169"/>
      <c r="AM95" s="169"/>
      <c r="AN95" s="169"/>
      <c r="AQ95" s="169"/>
      <c r="AW95" s="144">
        <f t="shared" si="33"/>
        <v>0</v>
      </c>
    </row>
    <row r="96" spans="1:49" ht="9.75" thickBot="1">
      <c r="A96" s="175"/>
      <c r="B96" s="176"/>
      <c r="C96" s="176"/>
      <c r="D96" s="170" t="str">
        <f>VLOOKUP(C96,Tabelændringskode,2,1)</f>
        <v xml:space="preserve"> </v>
      </c>
      <c r="E96" s="178"/>
      <c r="F96" s="288">
        <v>0</v>
      </c>
      <c r="G96" s="178">
        <v>37</v>
      </c>
      <c r="H96" s="178">
        <v>37</v>
      </c>
      <c r="I96" s="178"/>
      <c r="J96" s="180"/>
      <c r="K96" s="178"/>
      <c r="L96" s="180"/>
      <c r="M96" s="180"/>
      <c r="N96" s="178"/>
      <c r="O96" s="178"/>
      <c r="P96" s="178"/>
      <c r="Q96" s="171">
        <f>AS96</f>
        <v>0</v>
      </c>
      <c r="R96" s="171">
        <f>AT96</f>
        <v>0</v>
      </c>
      <c r="S96" s="172">
        <f>AU96</f>
        <v>0</v>
      </c>
      <c r="U96" s="144">
        <f>IF(OR(C95=5,C96=5),0,1)</f>
        <v>1</v>
      </c>
      <c r="V96" s="144">
        <f t="shared" si="25"/>
        <v>0</v>
      </c>
      <c r="W96" s="144">
        <f t="shared" si="26"/>
        <v>0</v>
      </c>
      <c r="X96" s="144">
        <f t="shared" si="18"/>
        <v>0</v>
      </c>
      <c r="Y96" s="144">
        <f t="shared" si="27"/>
        <v>31.779800000000002</v>
      </c>
      <c r="Z96" s="169">
        <f t="shared" si="19"/>
        <v>0</v>
      </c>
      <c r="AA96" s="274">
        <f t="shared" si="20"/>
        <v>0</v>
      </c>
      <c r="AB96" s="169">
        <f t="shared" si="28"/>
        <v>0</v>
      </c>
      <c r="AC96" s="274">
        <f t="shared" si="21"/>
        <v>0</v>
      </c>
      <c r="AD96" s="169">
        <f t="shared" si="22"/>
        <v>0</v>
      </c>
      <c r="AE96" s="274">
        <f t="shared" si="23"/>
        <v>0</v>
      </c>
      <c r="AF96" s="169">
        <f t="shared" si="29"/>
        <v>0</v>
      </c>
      <c r="AG96" s="274">
        <f t="shared" si="24"/>
        <v>0</v>
      </c>
      <c r="AH96" s="169">
        <f t="shared" si="30"/>
        <v>0</v>
      </c>
      <c r="AI96" s="169"/>
      <c r="AJ96" s="169">
        <f t="shared" si="31"/>
        <v>0</v>
      </c>
      <c r="AK96" s="169">
        <f t="shared" si="32"/>
        <v>0</v>
      </c>
      <c r="AL96" s="169"/>
      <c r="AM96" s="169">
        <f>AK95*W95+AK96*W96</f>
        <v>0</v>
      </c>
      <c r="AN96" s="169">
        <f>(SUM(AD95:AG95)*W95+SUM(AD96:AG96)*W96)*12*VLOOKUP(C96,JNovergang,3,1)</f>
        <v>0</v>
      </c>
      <c r="AO96" s="169">
        <f>AM96-AN96</f>
        <v>0</v>
      </c>
      <c r="AP96" s="169">
        <f>M96*(100+X96)%</f>
        <v>0</v>
      </c>
      <c r="AQ96" s="274">
        <f>ROUND(M96*F96,2)</f>
        <v>0</v>
      </c>
      <c r="AS96" s="274">
        <f>ROUND((AP96+AQ96)+AM96*(N96/12),0)</f>
        <v>0</v>
      </c>
      <c r="AT96" s="274">
        <f>ROUND(AM96*(O96/12),0)</f>
        <v>0</v>
      </c>
      <c r="AU96" s="274">
        <f>ROUND(AM96*(P96/12)*U96,0)</f>
        <v>0</v>
      </c>
      <c r="AW96" s="144">
        <f t="shared" si="33"/>
        <v>0</v>
      </c>
    </row>
    <row r="97" spans="1:49">
      <c r="A97" s="173"/>
      <c r="B97" s="174"/>
      <c r="C97" s="174"/>
      <c r="D97" s="165" t="str">
        <f t="shared" si="0"/>
        <v xml:space="preserve"> </v>
      </c>
      <c r="E97" s="177"/>
      <c r="F97" s="287">
        <v>0</v>
      </c>
      <c r="G97" s="177">
        <v>37</v>
      </c>
      <c r="H97" s="177">
        <v>37</v>
      </c>
      <c r="I97" s="177"/>
      <c r="J97" s="179"/>
      <c r="K97" s="177"/>
      <c r="L97" s="179"/>
      <c r="M97" s="166"/>
      <c r="N97" s="166"/>
      <c r="O97" s="166"/>
      <c r="P97" s="166"/>
      <c r="Q97" s="167"/>
      <c r="R97" s="167"/>
      <c r="S97" s="168"/>
      <c r="V97" s="144">
        <f t="shared" si="25"/>
        <v>0</v>
      </c>
      <c r="W97" s="144">
        <f t="shared" si="26"/>
        <v>0</v>
      </c>
      <c r="X97" s="144">
        <f t="shared" si="18"/>
        <v>0</v>
      </c>
      <c r="Y97" s="144">
        <f t="shared" si="27"/>
        <v>31.779800000000002</v>
      </c>
      <c r="Z97" s="169">
        <f t="shared" si="19"/>
        <v>0</v>
      </c>
      <c r="AA97" s="274">
        <f t="shared" si="20"/>
        <v>0</v>
      </c>
      <c r="AB97" s="169">
        <f t="shared" si="28"/>
        <v>0</v>
      </c>
      <c r="AC97" s="274">
        <f t="shared" si="21"/>
        <v>0</v>
      </c>
      <c r="AD97" s="169">
        <f t="shared" si="22"/>
        <v>0</v>
      </c>
      <c r="AE97" s="274">
        <f t="shared" si="23"/>
        <v>0</v>
      </c>
      <c r="AF97" s="169">
        <f t="shared" si="29"/>
        <v>0</v>
      </c>
      <c r="AG97" s="274">
        <f t="shared" si="24"/>
        <v>0</v>
      </c>
      <c r="AH97" s="169">
        <f t="shared" si="30"/>
        <v>0</v>
      </c>
      <c r="AI97" s="169"/>
      <c r="AJ97" s="169">
        <f t="shared" si="31"/>
        <v>0</v>
      </c>
      <c r="AK97" s="169">
        <f t="shared" si="32"/>
        <v>0</v>
      </c>
      <c r="AL97" s="169"/>
      <c r="AM97" s="169"/>
      <c r="AN97" s="169"/>
      <c r="AQ97" s="169"/>
      <c r="AW97" s="144">
        <f t="shared" si="33"/>
        <v>0</v>
      </c>
    </row>
    <row r="98" spans="1:49" ht="9.75" thickBot="1">
      <c r="A98" s="175"/>
      <c r="B98" s="176"/>
      <c r="C98" s="176"/>
      <c r="D98" s="170" t="str">
        <f>VLOOKUP(C98,Tabelændringskode,2,1)</f>
        <v xml:space="preserve"> </v>
      </c>
      <c r="E98" s="178"/>
      <c r="F98" s="288">
        <v>0</v>
      </c>
      <c r="G98" s="178">
        <v>37</v>
      </c>
      <c r="H98" s="178">
        <v>37</v>
      </c>
      <c r="I98" s="178"/>
      <c r="J98" s="180"/>
      <c r="K98" s="178"/>
      <c r="L98" s="180"/>
      <c r="M98" s="180"/>
      <c r="N98" s="178"/>
      <c r="O98" s="178"/>
      <c r="P98" s="178"/>
      <c r="Q98" s="171">
        <f>AS98</f>
        <v>0</v>
      </c>
      <c r="R98" s="171">
        <f>AT98</f>
        <v>0</v>
      </c>
      <c r="S98" s="172">
        <f>AU98</f>
        <v>0</v>
      </c>
      <c r="U98" s="144">
        <f>IF(OR(C97=5,C98=5),0,1)</f>
        <v>1</v>
      </c>
      <c r="V98" s="144">
        <f t="shared" si="25"/>
        <v>0</v>
      </c>
      <c r="W98" s="144">
        <f t="shared" si="26"/>
        <v>0</v>
      </c>
      <c r="X98" s="144">
        <f t="shared" si="18"/>
        <v>0</v>
      </c>
      <c r="Y98" s="144">
        <f t="shared" si="27"/>
        <v>31.779800000000002</v>
      </c>
      <c r="Z98" s="169">
        <f t="shared" si="19"/>
        <v>0</v>
      </c>
      <c r="AA98" s="274">
        <f t="shared" si="20"/>
        <v>0</v>
      </c>
      <c r="AB98" s="169">
        <f t="shared" si="28"/>
        <v>0</v>
      </c>
      <c r="AC98" s="274">
        <f t="shared" si="21"/>
        <v>0</v>
      </c>
      <c r="AD98" s="169">
        <f t="shared" si="22"/>
        <v>0</v>
      </c>
      <c r="AE98" s="274">
        <f t="shared" si="23"/>
        <v>0</v>
      </c>
      <c r="AF98" s="169">
        <f t="shared" si="29"/>
        <v>0</v>
      </c>
      <c r="AG98" s="274">
        <f t="shared" si="24"/>
        <v>0</v>
      </c>
      <c r="AH98" s="169">
        <f t="shared" si="30"/>
        <v>0</v>
      </c>
      <c r="AI98" s="169"/>
      <c r="AJ98" s="169">
        <f t="shared" si="31"/>
        <v>0</v>
      </c>
      <c r="AK98" s="169">
        <f t="shared" si="32"/>
        <v>0</v>
      </c>
      <c r="AL98" s="169"/>
      <c r="AM98" s="169">
        <f>AK97*W97+AK98*W98</f>
        <v>0</v>
      </c>
      <c r="AN98" s="169">
        <f>(SUM(AD97:AG97)*W97+SUM(AD98:AG98)*W98)*12*VLOOKUP(C98,JNovergang,3,1)</f>
        <v>0</v>
      </c>
      <c r="AO98" s="169">
        <f>AM98-AN98</f>
        <v>0</v>
      </c>
      <c r="AP98" s="169">
        <f>M98*(100+X98)%</f>
        <v>0</v>
      </c>
      <c r="AQ98" s="274">
        <f>ROUND(M98*F98,2)</f>
        <v>0</v>
      </c>
      <c r="AS98" s="274">
        <f>ROUND((AP98+AQ98)+AM98*(N98/12),0)</f>
        <v>0</v>
      </c>
      <c r="AT98" s="274">
        <f>ROUND(AM98*(O98/12),0)</f>
        <v>0</v>
      </c>
      <c r="AU98" s="274">
        <f>ROUND(AM98*(P98/12)*U98,0)</f>
        <v>0</v>
      </c>
      <c r="AW98" s="144">
        <f t="shared" si="33"/>
        <v>0</v>
      </c>
    </row>
    <row r="99" spans="1:49">
      <c r="A99" s="173"/>
      <c r="B99" s="174"/>
      <c r="C99" s="174"/>
      <c r="D99" s="165" t="str">
        <f t="shared" si="0"/>
        <v xml:space="preserve"> </v>
      </c>
      <c r="E99" s="177"/>
      <c r="F99" s="287">
        <v>0</v>
      </c>
      <c r="G99" s="177">
        <v>37</v>
      </c>
      <c r="H99" s="177">
        <v>37</v>
      </c>
      <c r="I99" s="177"/>
      <c r="J99" s="179"/>
      <c r="K99" s="177"/>
      <c r="L99" s="179"/>
      <c r="M99" s="166"/>
      <c r="N99" s="166"/>
      <c r="O99" s="166"/>
      <c r="P99" s="166"/>
      <c r="Q99" s="167"/>
      <c r="R99" s="167"/>
      <c r="S99" s="168"/>
      <c r="V99" s="144">
        <f t="shared" si="25"/>
        <v>0</v>
      </c>
      <c r="W99" s="144">
        <f t="shared" si="26"/>
        <v>0</v>
      </c>
      <c r="X99" s="144">
        <f t="shared" si="18"/>
        <v>0</v>
      </c>
      <c r="Y99" s="144">
        <f t="shared" si="27"/>
        <v>31.779800000000002</v>
      </c>
      <c r="Z99" s="169">
        <f t="shared" si="19"/>
        <v>0</v>
      </c>
      <c r="AA99" s="274">
        <f t="shared" si="20"/>
        <v>0</v>
      </c>
      <c r="AB99" s="169">
        <f t="shared" si="28"/>
        <v>0</v>
      </c>
      <c r="AC99" s="274">
        <f t="shared" si="21"/>
        <v>0</v>
      </c>
      <c r="AD99" s="169">
        <f t="shared" si="22"/>
        <v>0</v>
      </c>
      <c r="AE99" s="274">
        <f t="shared" si="23"/>
        <v>0</v>
      </c>
      <c r="AF99" s="169">
        <f t="shared" si="29"/>
        <v>0</v>
      </c>
      <c r="AG99" s="274">
        <f t="shared" si="24"/>
        <v>0</v>
      </c>
      <c r="AH99" s="169">
        <f t="shared" si="30"/>
        <v>0</v>
      </c>
      <c r="AI99" s="169"/>
      <c r="AJ99" s="169">
        <f t="shared" si="31"/>
        <v>0</v>
      </c>
      <c r="AK99" s="169">
        <f t="shared" si="32"/>
        <v>0</v>
      </c>
      <c r="AL99" s="169"/>
      <c r="AM99" s="169"/>
      <c r="AN99" s="169"/>
      <c r="AQ99" s="169"/>
      <c r="AW99" s="144">
        <f t="shared" si="33"/>
        <v>0</v>
      </c>
    </row>
    <row r="100" spans="1:49" ht="9.75" thickBot="1">
      <c r="A100" s="175"/>
      <c r="B100" s="176"/>
      <c r="C100" s="176"/>
      <c r="D100" s="170" t="str">
        <f>VLOOKUP(C100,Tabelændringskode,2,1)</f>
        <v xml:space="preserve"> </v>
      </c>
      <c r="E100" s="178"/>
      <c r="F100" s="288">
        <v>0</v>
      </c>
      <c r="G100" s="178">
        <v>37</v>
      </c>
      <c r="H100" s="178">
        <v>37</v>
      </c>
      <c r="I100" s="178"/>
      <c r="J100" s="180"/>
      <c r="K100" s="178"/>
      <c r="L100" s="180"/>
      <c r="M100" s="180"/>
      <c r="N100" s="178"/>
      <c r="O100" s="178"/>
      <c r="P100" s="178"/>
      <c r="Q100" s="171">
        <f>AS100</f>
        <v>0</v>
      </c>
      <c r="R100" s="171">
        <f>AT100</f>
        <v>0</v>
      </c>
      <c r="S100" s="172">
        <f>AU100</f>
        <v>0</v>
      </c>
      <c r="U100" s="144">
        <f>IF(OR(C99=5,C100=5),0,1)</f>
        <v>1</v>
      </c>
      <c r="V100" s="144">
        <f t="shared" si="25"/>
        <v>0</v>
      </c>
      <c r="W100" s="144">
        <f t="shared" si="26"/>
        <v>0</v>
      </c>
      <c r="X100" s="144">
        <f t="shared" si="18"/>
        <v>0</v>
      </c>
      <c r="Y100" s="144">
        <f t="shared" si="27"/>
        <v>31.779800000000002</v>
      </c>
      <c r="Z100" s="169">
        <f t="shared" si="19"/>
        <v>0</v>
      </c>
      <c r="AA100" s="274">
        <f t="shared" si="20"/>
        <v>0</v>
      </c>
      <c r="AB100" s="169">
        <f t="shared" si="28"/>
        <v>0</v>
      </c>
      <c r="AC100" s="274">
        <f t="shared" si="21"/>
        <v>0</v>
      </c>
      <c r="AD100" s="169">
        <f t="shared" si="22"/>
        <v>0</v>
      </c>
      <c r="AE100" s="274">
        <f t="shared" si="23"/>
        <v>0</v>
      </c>
      <c r="AF100" s="169">
        <f t="shared" si="29"/>
        <v>0</v>
      </c>
      <c r="AG100" s="274">
        <f t="shared" si="24"/>
        <v>0</v>
      </c>
      <c r="AH100" s="169">
        <f t="shared" si="30"/>
        <v>0</v>
      </c>
      <c r="AI100" s="169"/>
      <c r="AJ100" s="169">
        <f t="shared" si="31"/>
        <v>0</v>
      </c>
      <c r="AK100" s="169">
        <f t="shared" si="32"/>
        <v>0</v>
      </c>
      <c r="AL100" s="169"/>
      <c r="AM100" s="169">
        <f>AK99*W99+AK100*W100</f>
        <v>0</v>
      </c>
      <c r="AN100" s="169">
        <f>(SUM(AD99:AG99)*W99+SUM(AD100:AG100)*W100)*12*VLOOKUP(C100,JNovergang,3,1)</f>
        <v>0</v>
      </c>
      <c r="AO100" s="169">
        <f>AM100-AN100</f>
        <v>0</v>
      </c>
      <c r="AP100" s="169">
        <f>M100*(100+X100)%</f>
        <v>0</v>
      </c>
      <c r="AQ100" s="274">
        <f>ROUND(M100*F100,2)</f>
        <v>0</v>
      </c>
      <c r="AS100" s="274">
        <f>ROUND((AP100+AQ100)+AM100*(N100/12),0)</f>
        <v>0</v>
      </c>
      <c r="AT100" s="274">
        <f>ROUND(AM100*(O100/12),0)</f>
        <v>0</v>
      </c>
      <c r="AU100" s="274">
        <f>ROUND(AM100*(P100/12)*U100,0)</f>
        <v>0</v>
      </c>
      <c r="AW100" s="144">
        <f t="shared" si="33"/>
        <v>0</v>
      </c>
    </row>
    <row r="101" spans="1:49">
      <c r="A101" s="173"/>
      <c r="B101" s="174"/>
      <c r="C101" s="174"/>
      <c r="D101" s="165" t="str">
        <f t="shared" si="0"/>
        <v xml:space="preserve"> </v>
      </c>
      <c r="E101" s="177"/>
      <c r="F101" s="287">
        <v>0</v>
      </c>
      <c r="G101" s="177">
        <v>37</v>
      </c>
      <c r="H101" s="177">
        <v>37</v>
      </c>
      <c r="I101" s="177"/>
      <c r="J101" s="179"/>
      <c r="K101" s="177"/>
      <c r="L101" s="179"/>
      <c r="M101" s="166"/>
      <c r="N101" s="166"/>
      <c r="O101" s="166"/>
      <c r="P101" s="166"/>
      <c r="Q101" s="167"/>
      <c r="R101" s="167"/>
      <c r="S101" s="168"/>
      <c r="V101" s="144">
        <f t="shared" si="25"/>
        <v>0</v>
      </c>
      <c r="W101" s="144">
        <f t="shared" si="26"/>
        <v>0</v>
      </c>
      <c r="X101" s="144">
        <f t="shared" si="18"/>
        <v>0</v>
      </c>
      <c r="Y101" s="144">
        <f t="shared" si="27"/>
        <v>31.779800000000002</v>
      </c>
      <c r="Z101" s="169">
        <f t="shared" si="19"/>
        <v>0</v>
      </c>
      <c r="AA101" s="274">
        <f t="shared" si="20"/>
        <v>0</v>
      </c>
      <c r="AB101" s="169">
        <f t="shared" si="28"/>
        <v>0</v>
      </c>
      <c r="AC101" s="274">
        <f t="shared" si="21"/>
        <v>0</v>
      </c>
      <c r="AD101" s="169">
        <f t="shared" si="22"/>
        <v>0</v>
      </c>
      <c r="AE101" s="274">
        <f t="shared" si="23"/>
        <v>0</v>
      </c>
      <c r="AF101" s="169">
        <f t="shared" si="29"/>
        <v>0</v>
      </c>
      <c r="AG101" s="274">
        <f t="shared" si="24"/>
        <v>0</v>
      </c>
      <c r="AH101" s="169">
        <f t="shared" si="30"/>
        <v>0</v>
      </c>
      <c r="AI101" s="169"/>
      <c r="AJ101" s="169">
        <f t="shared" si="31"/>
        <v>0</v>
      </c>
      <c r="AK101" s="169">
        <f t="shared" si="32"/>
        <v>0</v>
      </c>
      <c r="AL101" s="169"/>
      <c r="AM101" s="169"/>
      <c r="AN101" s="169"/>
      <c r="AQ101" s="169"/>
      <c r="AW101" s="144">
        <f t="shared" si="33"/>
        <v>0</v>
      </c>
    </row>
    <row r="102" spans="1:49" ht="9.75" thickBot="1">
      <c r="A102" s="175"/>
      <c r="B102" s="176"/>
      <c r="C102" s="176"/>
      <c r="D102" s="170" t="str">
        <f>VLOOKUP(C102,Tabelændringskode,2,1)</f>
        <v xml:space="preserve"> </v>
      </c>
      <c r="E102" s="178"/>
      <c r="F102" s="288">
        <v>0</v>
      </c>
      <c r="G102" s="178">
        <v>37</v>
      </c>
      <c r="H102" s="178">
        <v>37</v>
      </c>
      <c r="I102" s="178"/>
      <c r="J102" s="180"/>
      <c r="K102" s="178"/>
      <c r="L102" s="180"/>
      <c r="M102" s="180"/>
      <c r="N102" s="178"/>
      <c r="O102" s="178"/>
      <c r="P102" s="178"/>
      <c r="Q102" s="171">
        <f>AS102</f>
        <v>0</v>
      </c>
      <c r="R102" s="171">
        <f>AT102</f>
        <v>0</v>
      </c>
      <c r="S102" s="172">
        <f>AU102</f>
        <v>0</v>
      </c>
      <c r="U102" s="144">
        <f>IF(OR(C101=5,C102=5),0,1)</f>
        <v>1</v>
      </c>
      <c r="V102" s="144">
        <f t="shared" si="25"/>
        <v>0</v>
      </c>
      <c r="W102" s="144">
        <f t="shared" si="26"/>
        <v>0</v>
      </c>
      <c r="X102" s="144">
        <f t="shared" si="18"/>
        <v>0</v>
      </c>
      <c r="Y102" s="144">
        <f t="shared" si="27"/>
        <v>31.779800000000002</v>
      </c>
      <c r="Z102" s="169">
        <f t="shared" si="19"/>
        <v>0</v>
      </c>
      <c r="AA102" s="274">
        <f t="shared" si="20"/>
        <v>0</v>
      </c>
      <c r="AB102" s="169">
        <f t="shared" si="28"/>
        <v>0</v>
      </c>
      <c r="AC102" s="274">
        <f t="shared" si="21"/>
        <v>0</v>
      </c>
      <c r="AD102" s="169">
        <f t="shared" si="22"/>
        <v>0</v>
      </c>
      <c r="AE102" s="274">
        <f t="shared" si="23"/>
        <v>0</v>
      </c>
      <c r="AF102" s="169">
        <f t="shared" si="29"/>
        <v>0</v>
      </c>
      <c r="AG102" s="274">
        <f t="shared" si="24"/>
        <v>0</v>
      </c>
      <c r="AH102" s="169">
        <f t="shared" si="30"/>
        <v>0</v>
      </c>
      <c r="AI102" s="169"/>
      <c r="AJ102" s="169">
        <f t="shared" si="31"/>
        <v>0</v>
      </c>
      <c r="AK102" s="169">
        <f t="shared" si="32"/>
        <v>0</v>
      </c>
      <c r="AL102" s="169"/>
      <c r="AM102" s="169">
        <f>AK101*W101+AK102*W102</f>
        <v>0</v>
      </c>
      <c r="AN102" s="169">
        <f>(SUM(AD101:AG101)*W101+SUM(AD102:AG102)*W102)*12*VLOOKUP(C102,JNovergang,3,1)</f>
        <v>0</v>
      </c>
      <c r="AO102" s="169">
        <f>AM102-AN102</f>
        <v>0</v>
      </c>
      <c r="AP102" s="169">
        <f>M102*(100+X102)%</f>
        <v>0</v>
      </c>
      <c r="AQ102" s="274">
        <f>ROUND(M102*F102,2)</f>
        <v>0</v>
      </c>
      <c r="AS102" s="274">
        <f>ROUND((AP102+AQ102)+AM102*(N102/12),0)</f>
        <v>0</v>
      </c>
      <c r="AT102" s="274">
        <f>ROUND(AM102*(O102/12),0)</f>
        <v>0</v>
      </c>
      <c r="AU102" s="274">
        <f>ROUND(AM102*(P102/12)*U102,0)</f>
        <v>0</v>
      </c>
      <c r="AW102" s="144">
        <f t="shared" si="33"/>
        <v>0</v>
      </c>
    </row>
    <row r="103" spans="1:49">
      <c r="A103" s="173"/>
      <c r="B103" s="174"/>
      <c r="C103" s="174"/>
      <c r="D103" s="165" t="str">
        <f t="shared" si="0"/>
        <v xml:space="preserve"> </v>
      </c>
      <c r="E103" s="177"/>
      <c r="F103" s="287">
        <v>0</v>
      </c>
      <c r="G103" s="177">
        <v>37</v>
      </c>
      <c r="H103" s="177">
        <v>37</v>
      </c>
      <c r="I103" s="177"/>
      <c r="J103" s="179"/>
      <c r="K103" s="177"/>
      <c r="L103" s="179"/>
      <c r="M103" s="166"/>
      <c r="N103" s="166"/>
      <c r="O103" s="166"/>
      <c r="P103" s="166"/>
      <c r="Q103" s="167"/>
      <c r="R103" s="167"/>
      <c r="S103" s="168"/>
      <c r="V103" s="144">
        <f t="shared" si="25"/>
        <v>0</v>
      </c>
      <c r="W103" s="144">
        <f t="shared" si="26"/>
        <v>0</v>
      </c>
      <c r="X103" s="144">
        <f t="shared" si="18"/>
        <v>0</v>
      </c>
      <c r="Y103" s="144">
        <f t="shared" si="27"/>
        <v>31.779800000000002</v>
      </c>
      <c r="Z103" s="169">
        <f t="shared" si="19"/>
        <v>0</v>
      </c>
      <c r="AA103" s="274">
        <f t="shared" si="20"/>
        <v>0</v>
      </c>
      <c r="AB103" s="169">
        <f t="shared" si="28"/>
        <v>0</v>
      </c>
      <c r="AC103" s="274">
        <f t="shared" si="21"/>
        <v>0</v>
      </c>
      <c r="AD103" s="169">
        <f t="shared" si="22"/>
        <v>0</v>
      </c>
      <c r="AE103" s="274">
        <f t="shared" si="23"/>
        <v>0</v>
      </c>
      <c r="AF103" s="169">
        <f t="shared" si="29"/>
        <v>0</v>
      </c>
      <c r="AG103" s="274">
        <f t="shared" si="24"/>
        <v>0</v>
      </c>
      <c r="AH103" s="169">
        <f t="shared" si="30"/>
        <v>0</v>
      </c>
      <c r="AI103" s="169"/>
      <c r="AJ103" s="169">
        <f t="shared" si="31"/>
        <v>0</v>
      </c>
      <c r="AK103" s="169">
        <f t="shared" si="32"/>
        <v>0</v>
      </c>
      <c r="AL103" s="169"/>
      <c r="AM103" s="169"/>
      <c r="AN103" s="169"/>
      <c r="AQ103" s="169"/>
      <c r="AW103" s="144">
        <f t="shared" si="33"/>
        <v>0</v>
      </c>
    </row>
    <row r="104" spans="1:49" ht="9.75" thickBot="1">
      <c r="A104" s="175"/>
      <c r="B104" s="176"/>
      <c r="C104" s="176"/>
      <c r="D104" s="170" t="str">
        <f>VLOOKUP(C104,Tabelændringskode,2,1)</f>
        <v xml:space="preserve"> </v>
      </c>
      <c r="E104" s="178"/>
      <c r="F104" s="288">
        <v>0</v>
      </c>
      <c r="G104" s="178">
        <v>37</v>
      </c>
      <c r="H104" s="178">
        <v>37</v>
      </c>
      <c r="I104" s="178"/>
      <c r="J104" s="180"/>
      <c r="K104" s="178"/>
      <c r="L104" s="180"/>
      <c r="M104" s="180"/>
      <c r="N104" s="178"/>
      <c r="O104" s="178"/>
      <c r="P104" s="178"/>
      <c r="Q104" s="171">
        <f>AS104</f>
        <v>0</v>
      </c>
      <c r="R104" s="171">
        <f>AT104</f>
        <v>0</v>
      </c>
      <c r="S104" s="172">
        <f>AU104</f>
        <v>0</v>
      </c>
      <c r="U104" s="144">
        <f>IF(OR(C103=5,C104=5),0,1)</f>
        <v>1</v>
      </c>
      <c r="V104" s="144">
        <f t="shared" si="25"/>
        <v>0</v>
      </c>
      <c r="W104" s="144">
        <f t="shared" si="26"/>
        <v>0</v>
      </c>
      <c r="X104" s="144">
        <f t="shared" si="18"/>
        <v>0</v>
      </c>
      <c r="Y104" s="144">
        <f t="shared" si="27"/>
        <v>31.779800000000002</v>
      </c>
      <c r="Z104" s="169">
        <f t="shared" si="19"/>
        <v>0</v>
      </c>
      <c r="AA104" s="274">
        <f t="shared" si="20"/>
        <v>0</v>
      </c>
      <c r="AB104" s="169">
        <f t="shared" si="28"/>
        <v>0</v>
      </c>
      <c r="AC104" s="274">
        <f t="shared" si="21"/>
        <v>0</v>
      </c>
      <c r="AD104" s="169">
        <f t="shared" si="22"/>
        <v>0</v>
      </c>
      <c r="AE104" s="274">
        <f t="shared" si="23"/>
        <v>0</v>
      </c>
      <c r="AF104" s="169">
        <f t="shared" si="29"/>
        <v>0</v>
      </c>
      <c r="AG104" s="274">
        <f t="shared" si="24"/>
        <v>0</v>
      </c>
      <c r="AH104" s="169">
        <f t="shared" si="30"/>
        <v>0</v>
      </c>
      <c r="AI104" s="169"/>
      <c r="AJ104" s="169">
        <f t="shared" si="31"/>
        <v>0</v>
      </c>
      <c r="AK104" s="169">
        <f t="shared" si="32"/>
        <v>0</v>
      </c>
      <c r="AL104" s="169"/>
      <c r="AM104" s="169">
        <f>AK103*W103+AK104*W104</f>
        <v>0</v>
      </c>
      <c r="AN104" s="169">
        <f>(SUM(AD103:AG103)*W103+SUM(AD104:AG104)*W104)*12*VLOOKUP(C104,JNovergang,3,1)</f>
        <v>0</v>
      </c>
      <c r="AO104" s="169">
        <f>AM104-AN104</f>
        <v>0</v>
      </c>
      <c r="AP104" s="169">
        <f>M104*(100+X104)%</f>
        <v>0</v>
      </c>
      <c r="AQ104" s="274">
        <f>ROUND(M104*F104,2)</f>
        <v>0</v>
      </c>
      <c r="AS104" s="274">
        <f>ROUND((AP104+AQ104)+AM104*(N104/12),0)</f>
        <v>0</v>
      </c>
      <c r="AT104" s="274">
        <f>ROUND(AM104*(O104/12),0)</f>
        <v>0</v>
      </c>
      <c r="AU104" s="274">
        <f>ROUND(AM104*(P104/12)*U104,0)</f>
        <v>0</v>
      </c>
      <c r="AW104" s="144">
        <f t="shared" si="33"/>
        <v>0</v>
      </c>
    </row>
    <row r="105" spans="1:49">
      <c r="A105" s="173"/>
      <c r="B105" s="174"/>
      <c r="C105" s="174"/>
      <c r="D105" s="165" t="str">
        <f t="shared" si="0"/>
        <v xml:space="preserve"> </v>
      </c>
      <c r="E105" s="177"/>
      <c r="F105" s="287">
        <v>0</v>
      </c>
      <c r="G105" s="177">
        <v>37</v>
      </c>
      <c r="H105" s="177">
        <v>37</v>
      </c>
      <c r="I105" s="177"/>
      <c r="J105" s="179"/>
      <c r="K105" s="177"/>
      <c r="L105" s="179"/>
      <c r="M105" s="166"/>
      <c r="N105" s="166"/>
      <c r="O105" s="166"/>
      <c r="P105" s="166"/>
      <c r="Q105" s="167"/>
      <c r="R105" s="167"/>
      <c r="S105" s="168"/>
      <c r="V105" s="144">
        <f t="shared" si="25"/>
        <v>0</v>
      </c>
      <c r="W105" s="144">
        <f t="shared" si="26"/>
        <v>0</v>
      </c>
      <c r="X105" s="144">
        <f t="shared" si="18"/>
        <v>0</v>
      </c>
      <c r="Y105" s="144">
        <f t="shared" si="27"/>
        <v>31.779800000000002</v>
      </c>
      <c r="Z105" s="169">
        <f t="shared" si="19"/>
        <v>0</v>
      </c>
      <c r="AA105" s="274">
        <f t="shared" si="20"/>
        <v>0</v>
      </c>
      <c r="AB105" s="169">
        <f t="shared" si="28"/>
        <v>0</v>
      </c>
      <c r="AC105" s="274">
        <f t="shared" si="21"/>
        <v>0</v>
      </c>
      <c r="AD105" s="169">
        <f t="shared" si="22"/>
        <v>0</v>
      </c>
      <c r="AE105" s="274">
        <f t="shared" si="23"/>
        <v>0</v>
      </c>
      <c r="AF105" s="169">
        <f t="shared" si="29"/>
        <v>0</v>
      </c>
      <c r="AG105" s="274">
        <f t="shared" si="24"/>
        <v>0</v>
      </c>
      <c r="AH105" s="169">
        <f t="shared" si="30"/>
        <v>0</v>
      </c>
      <c r="AI105" s="169"/>
      <c r="AJ105" s="169">
        <f t="shared" si="31"/>
        <v>0</v>
      </c>
      <c r="AK105" s="169">
        <f t="shared" si="32"/>
        <v>0</v>
      </c>
      <c r="AL105" s="169"/>
      <c r="AM105" s="169"/>
      <c r="AN105" s="169"/>
      <c r="AQ105" s="169"/>
      <c r="AW105" s="144">
        <f t="shared" si="33"/>
        <v>0</v>
      </c>
    </row>
    <row r="106" spans="1:49" ht="9.75" thickBot="1">
      <c r="A106" s="175"/>
      <c r="B106" s="176"/>
      <c r="C106" s="176"/>
      <c r="D106" s="170" t="str">
        <f>VLOOKUP(C106,Tabelændringskode,2,1)</f>
        <v xml:space="preserve"> </v>
      </c>
      <c r="E106" s="178"/>
      <c r="F106" s="288">
        <v>0</v>
      </c>
      <c r="G106" s="178">
        <v>37</v>
      </c>
      <c r="H106" s="178">
        <v>37</v>
      </c>
      <c r="I106" s="178"/>
      <c r="J106" s="180"/>
      <c r="K106" s="178"/>
      <c r="L106" s="180"/>
      <c r="M106" s="180"/>
      <c r="N106" s="178"/>
      <c r="O106" s="178"/>
      <c r="P106" s="178"/>
      <c r="Q106" s="171">
        <f>AS106</f>
        <v>0</v>
      </c>
      <c r="R106" s="171">
        <f>AT106</f>
        <v>0</v>
      </c>
      <c r="S106" s="172">
        <f>AU106</f>
        <v>0</v>
      </c>
      <c r="U106" s="144">
        <f>IF(OR(C105=5,C106=5),0,1)</f>
        <v>1</v>
      </c>
      <c r="V106" s="144">
        <f t="shared" si="25"/>
        <v>0</v>
      </c>
      <c r="W106" s="144">
        <f t="shared" si="26"/>
        <v>0</v>
      </c>
      <c r="X106" s="144">
        <f t="shared" si="18"/>
        <v>0</v>
      </c>
      <c r="Y106" s="144">
        <f t="shared" si="27"/>
        <v>31.779800000000002</v>
      </c>
      <c r="Z106" s="169">
        <f t="shared" si="19"/>
        <v>0</v>
      </c>
      <c r="AA106" s="274">
        <f t="shared" si="20"/>
        <v>0</v>
      </c>
      <c r="AB106" s="169">
        <f t="shared" si="28"/>
        <v>0</v>
      </c>
      <c r="AC106" s="274">
        <f t="shared" si="21"/>
        <v>0</v>
      </c>
      <c r="AD106" s="169">
        <f t="shared" si="22"/>
        <v>0</v>
      </c>
      <c r="AE106" s="274">
        <f t="shared" si="23"/>
        <v>0</v>
      </c>
      <c r="AF106" s="169">
        <f t="shared" si="29"/>
        <v>0</v>
      </c>
      <c r="AG106" s="274">
        <f t="shared" si="24"/>
        <v>0</v>
      </c>
      <c r="AH106" s="169">
        <f t="shared" si="30"/>
        <v>0</v>
      </c>
      <c r="AI106" s="169"/>
      <c r="AJ106" s="169">
        <f t="shared" si="31"/>
        <v>0</v>
      </c>
      <c r="AK106" s="169">
        <f t="shared" si="32"/>
        <v>0</v>
      </c>
      <c r="AL106" s="169"/>
      <c r="AM106" s="169">
        <f>AK105*W105+AK106*W106</f>
        <v>0</v>
      </c>
      <c r="AN106" s="169">
        <f>(SUM(AD105:AG105)*W105+SUM(AD106:AG106)*W106)*12*VLOOKUP(C106,JNovergang,3,1)</f>
        <v>0</v>
      </c>
      <c r="AO106" s="169">
        <f>AM106-AN106</f>
        <v>0</v>
      </c>
      <c r="AP106" s="169">
        <f>M106*(100+X106)%</f>
        <v>0</v>
      </c>
      <c r="AQ106" s="274">
        <f>ROUND(M106*F106,2)</f>
        <v>0</v>
      </c>
      <c r="AS106" s="274">
        <f>ROUND((AP106+AQ106)+AM106*(N106/12),0)</f>
        <v>0</v>
      </c>
      <c r="AT106" s="274">
        <f>ROUND(AM106*(O106/12),0)</f>
        <v>0</v>
      </c>
      <c r="AU106" s="274">
        <f>ROUND(AM106*(P106/12)*U106,0)</f>
        <v>0</v>
      </c>
      <c r="AW106" s="144">
        <f t="shared" si="33"/>
        <v>0</v>
      </c>
    </row>
    <row r="107" spans="1:49">
      <c r="A107" s="173"/>
      <c r="B107" s="174"/>
      <c r="C107" s="174"/>
      <c r="D107" s="165" t="str">
        <f t="shared" si="0"/>
        <v xml:space="preserve"> </v>
      </c>
      <c r="E107" s="177"/>
      <c r="F107" s="287">
        <v>0</v>
      </c>
      <c r="G107" s="177">
        <v>37</v>
      </c>
      <c r="H107" s="177">
        <v>37</v>
      </c>
      <c r="I107" s="177"/>
      <c r="J107" s="179"/>
      <c r="K107" s="177"/>
      <c r="L107" s="179"/>
      <c r="M107" s="166"/>
      <c r="N107" s="166"/>
      <c r="O107" s="166"/>
      <c r="P107" s="166"/>
      <c r="Q107" s="167"/>
      <c r="R107" s="167"/>
      <c r="S107" s="168"/>
      <c r="V107" s="144">
        <f t="shared" si="25"/>
        <v>0</v>
      </c>
      <c r="W107" s="144">
        <f t="shared" si="26"/>
        <v>0</v>
      </c>
      <c r="X107" s="144">
        <f t="shared" si="18"/>
        <v>0</v>
      </c>
      <c r="Y107" s="144">
        <f t="shared" si="27"/>
        <v>31.779800000000002</v>
      </c>
      <c r="Z107" s="169">
        <f t="shared" si="19"/>
        <v>0</v>
      </c>
      <c r="AA107" s="274">
        <f t="shared" si="20"/>
        <v>0</v>
      </c>
      <c r="AB107" s="169">
        <f t="shared" si="28"/>
        <v>0</v>
      </c>
      <c r="AC107" s="274">
        <f t="shared" si="21"/>
        <v>0</v>
      </c>
      <c r="AD107" s="169">
        <f t="shared" si="22"/>
        <v>0</v>
      </c>
      <c r="AE107" s="274">
        <f t="shared" si="23"/>
        <v>0</v>
      </c>
      <c r="AF107" s="169">
        <f t="shared" si="29"/>
        <v>0</v>
      </c>
      <c r="AG107" s="274">
        <f t="shared" si="24"/>
        <v>0</v>
      </c>
      <c r="AH107" s="169">
        <f t="shared" si="30"/>
        <v>0</v>
      </c>
      <c r="AI107" s="169"/>
      <c r="AJ107" s="169">
        <f t="shared" si="31"/>
        <v>0</v>
      </c>
      <c r="AK107" s="169">
        <f t="shared" si="32"/>
        <v>0</v>
      </c>
      <c r="AL107" s="169"/>
      <c r="AM107" s="169"/>
      <c r="AN107" s="169"/>
      <c r="AQ107" s="169"/>
      <c r="AW107" s="144">
        <f t="shared" si="33"/>
        <v>0</v>
      </c>
    </row>
    <row r="108" spans="1:49" ht="9.75" thickBot="1">
      <c r="A108" s="175"/>
      <c r="B108" s="176"/>
      <c r="C108" s="176"/>
      <c r="D108" s="170" t="str">
        <f>VLOOKUP(C108,Tabelændringskode,2,1)</f>
        <v xml:space="preserve"> </v>
      </c>
      <c r="E108" s="178"/>
      <c r="F108" s="288">
        <v>0</v>
      </c>
      <c r="G108" s="178">
        <v>37</v>
      </c>
      <c r="H108" s="178">
        <v>37</v>
      </c>
      <c r="I108" s="178"/>
      <c r="J108" s="180"/>
      <c r="K108" s="178"/>
      <c r="L108" s="180"/>
      <c r="M108" s="180"/>
      <c r="N108" s="178"/>
      <c r="O108" s="178"/>
      <c r="P108" s="178"/>
      <c r="Q108" s="171">
        <f>AS108</f>
        <v>0</v>
      </c>
      <c r="R108" s="171">
        <f>AT108</f>
        <v>0</v>
      </c>
      <c r="S108" s="172">
        <f>AU108</f>
        <v>0</v>
      </c>
      <c r="U108" s="144">
        <f>IF(OR(C107=5,C108=5),0,1)</f>
        <v>1</v>
      </c>
      <c r="V108" s="144">
        <f t="shared" si="25"/>
        <v>0</v>
      </c>
      <c r="W108" s="144">
        <f t="shared" si="26"/>
        <v>0</v>
      </c>
      <c r="X108" s="144">
        <f t="shared" si="18"/>
        <v>0</v>
      </c>
      <c r="Y108" s="144">
        <f t="shared" si="27"/>
        <v>31.779800000000002</v>
      </c>
      <c r="Z108" s="169">
        <f t="shared" si="19"/>
        <v>0</v>
      </c>
      <c r="AA108" s="274">
        <f t="shared" si="20"/>
        <v>0</v>
      </c>
      <c r="AB108" s="169">
        <f t="shared" si="28"/>
        <v>0</v>
      </c>
      <c r="AC108" s="274">
        <f t="shared" si="21"/>
        <v>0</v>
      </c>
      <c r="AD108" s="169">
        <f t="shared" si="22"/>
        <v>0</v>
      </c>
      <c r="AE108" s="274">
        <f t="shared" si="23"/>
        <v>0</v>
      </c>
      <c r="AF108" s="169">
        <f t="shared" si="29"/>
        <v>0</v>
      </c>
      <c r="AG108" s="274">
        <f t="shared" si="24"/>
        <v>0</v>
      </c>
      <c r="AH108" s="169">
        <f t="shared" si="30"/>
        <v>0</v>
      </c>
      <c r="AI108" s="169"/>
      <c r="AJ108" s="169">
        <f t="shared" si="31"/>
        <v>0</v>
      </c>
      <c r="AK108" s="169">
        <f t="shared" si="32"/>
        <v>0</v>
      </c>
      <c r="AL108" s="169"/>
      <c r="AM108" s="169">
        <f>AK107*W107+AK108*W108</f>
        <v>0</v>
      </c>
      <c r="AN108" s="169">
        <f>(SUM(AD107:AG107)*W107+SUM(AD108:AG108)*W108)*12*VLOOKUP(C108,JNovergang,3,1)</f>
        <v>0</v>
      </c>
      <c r="AO108" s="169">
        <f>AM108-AN108</f>
        <v>0</v>
      </c>
      <c r="AP108" s="169">
        <f>M108*(100+X108)%</f>
        <v>0</v>
      </c>
      <c r="AQ108" s="274">
        <f>ROUND(M108*F108,2)</f>
        <v>0</v>
      </c>
      <c r="AS108" s="274">
        <f>ROUND((AP108+AQ108)+AM108*(N108/12),0)</f>
        <v>0</v>
      </c>
      <c r="AT108" s="274">
        <f>ROUND(AM108*(O108/12),0)</f>
        <v>0</v>
      </c>
      <c r="AU108" s="274">
        <f>ROUND(AM108*(P108/12)*U108,0)</f>
        <v>0</v>
      </c>
      <c r="AW108" s="144">
        <f t="shared" si="33"/>
        <v>0</v>
      </c>
    </row>
    <row r="109" spans="1:49">
      <c r="A109" s="173"/>
      <c r="B109" s="174"/>
      <c r="C109" s="174"/>
      <c r="D109" s="165" t="str">
        <f t="shared" si="0"/>
        <v xml:space="preserve"> </v>
      </c>
      <c r="E109" s="177"/>
      <c r="F109" s="287">
        <v>0</v>
      </c>
      <c r="G109" s="177">
        <v>37</v>
      </c>
      <c r="H109" s="177">
        <v>37</v>
      </c>
      <c r="I109" s="177"/>
      <c r="J109" s="179"/>
      <c r="K109" s="177"/>
      <c r="L109" s="179"/>
      <c r="M109" s="166"/>
      <c r="N109" s="166"/>
      <c r="O109" s="166"/>
      <c r="P109" s="166"/>
      <c r="Q109" s="167"/>
      <c r="R109" s="167"/>
      <c r="S109" s="168"/>
      <c r="V109" s="144">
        <f t="shared" si="25"/>
        <v>0</v>
      </c>
      <c r="W109" s="144">
        <f t="shared" si="26"/>
        <v>0</v>
      </c>
      <c r="X109" s="144">
        <f t="shared" si="18"/>
        <v>0</v>
      </c>
      <c r="Y109" s="144">
        <f t="shared" si="27"/>
        <v>31.779800000000002</v>
      </c>
      <c r="Z109" s="169">
        <f t="shared" si="19"/>
        <v>0</v>
      </c>
      <c r="AA109" s="274">
        <f t="shared" si="20"/>
        <v>0</v>
      </c>
      <c r="AB109" s="169">
        <f t="shared" si="28"/>
        <v>0</v>
      </c>
      <c r="AC109" s="274">
        <f t="shared" si="21"/>
        <v>0</v>
      </c>
      <c r="AD109" s="169">
        <f t="shared" si="22"/>
        <v>0</v>
      </c>
      <c r="AE109" s="274">
        <f t="shared" si="23"/>
        <v>0</v>
      </c>
      <c r="AF109" s="169">
        <f t="shared" si="29"/>
        <v>0</v>
      </c>
      <c r="AG109" s="274">
        <f t="shared" si="24"/>
        <v>0</v>
      </c>
      <c r="AH109" s="169">
        <f t="shared" si="30"/>
        <v>0</v>
      </c>
      <c r="AI109" s="169"/>
      <c r="AJ109" s="169">
        <f t="shared" si="31"/>
        <v>0</v>
      </c>
      <c r="AK109" s="169">
        <f t="shared" si="32"/>
        <v>0</v>
      </c>
      <c r="AL109" s="169"/>
      <c r="AM109" s="169"/>
      <c r="AN109" s="169"/>
      <c r="AQ109" s="169"/>
      <c r="AW109" s="144">
        <f t="shared" si="33"/>
        <v>0</v>
      </c>
    </row>
    <row r="110" spans="1:49" ht="9.75" thickBot="1">
      <c r="A110" s="175"/>
      <c r="B110" s="176"/>
      <c r="C110" s="176"/>
      <c r="D110" s="170" t="str">
        <f>VLOOKUP(C110,Tabelændringskode,2,1)</f>
        <v xml:space="preserve"> </v>
      </c>
      <c r="E110" s="178"/>
      <c r="F110" s="288">
        <v>0</v>
      </c>
      <c r="G110" s="178">
        <v>37</v>
      </c>
      <c r="H110" s="178">
        <v>37</v>
      </c>
      <c r="I110" s="178"/>
      <c r="J110" s="180"/>
      <c r="K110" s="178"/>
      <c r="L110" s="180"/>
      <c r="M110" s="180"/>
      <c r="N110" s="178"/>
      <c r="O110" s="178"/>
      <c r="P110" s="178"/>
      <c r="Q110" s="171">
        <f>AS110</f>
        <v>0</v>
      </c>
      <c r="R110" s="171">
        <f>AT110</f>
        <v>0</v>
      </c>
      <c r="S110" s="172">
        <f>AU110</f>
        <v>0</v>
      </c>
      <c r="U110" s="144">
        <f>IF(OR(C109=5,C110=5),0,1)</f>
        <v>1</v>
      </c>
      <c r="V110" s="144">
        <f t="shared" si="25"/>
        <v>0</v>
      </c>
      <c r="W110" s="144">
        <f t="shared" si="26"/>
        <v>0</v>
      </c>
      <c r="X110" s="144">
        <f t="shared" si="18"/>
        <v>0</v>
      </c>
      <c r="Y110" s="144">
        <f t="shared" si="27"/>
        <v>31.779800000000002</v>
      </c>
      <c r="Z110" s="169">
        <f t="shared" si="19"/>
        <v>0</v>
      </c>
      <c r="AA110" s="274">
        <f t="shared" si="20"/>
        <v>0</v>
      </c>
      <c r="AB110" s="169">
        <f t="shared" si="28"/>
        <v>0</v>
      </c>
      <c r="AC110" s="274">
        <f t="shared" si="21"/>
        <v>0</v>
      </c>
      <c r="AD110" s="169">
        <f t="shared" si="22"/>
        <v>0</v>
      </c>
      <c r="AE110" s="274">
        <f t="shared" si="23"/>
        <v>0</v>
      </c>
      <c r="AF110" s="169">
        <f t="shared" si="29"/>
        <v>0</v>
      </c>
      <c r="AG110" s="274">
        <f t="shared" si="24"/>
        <v>0</v>
      </c>
      <c r="AH110" s="169">
        <f t="shared" si="30"/>
        <v>0</v>
      </c>
      <c r="AI110" s="169"/>
      <c r="AJ110" s="169">
        <f t="shared" si="31"/>
        <v>0</v>
      </c>
      <c r="AK110" s="169">
        <f t="shared" si="32"/>
        <v>0</v>
      </c>
      <c r="AL110" s="169"/>
      <c r="AM110" s="169">
        <f>AK109*W109+AK110*W110</f>
        <v>0</v>
      </c>
      <c r="AN110" s="169">
        <f>(SUM(AD109:AG109)*W109+SUM(AD110:AG110)*W110)*12*VLOOKUP(C110,JNovergang,3,1)</f>
        <v>0</v>
      </c>
      <c r="AO110" s="169">
        <f>AM110-AN110</f>
        <v>0</v>
      </c>
      <c r="AP110" s="169">
        <f>M110*(100+X110)%</f>
        <v>0</v>
      </c>
      <c r="AQ110" s="274">
        <f>ROUND(M110*F110,2)</f>
        <v>0</v>
      </c>
      <c r="AS110" s="274">
        <f>ROUND((AP110+AQ110)+AM110*(N110/12),0)</f>
        <v>0</v>
      </c>
      <c r="AT110" s="274">
        <f>ROUND(AM110*(O110/12),0)</f>
        <v>0</v>
      </c>
      <c r="AU110" s="274">
        <f>ROUND(AM110*(P110/12)*U110,0)</f>
        <v>0</v>
      </c>
      <c r="AW110" s="144">
        <f t="shared" si="33"/>
        <v>0</v>
      </c>
    </row>
    <row r="111" spans="1:49">
      <c r="A111" s="173"/>
      <c r="B111" s="174"/>
      <c r="C111" s="174"/>
      <c r="D111" s="165" t="str">
        <f t="shared" si="0"/>
        <v xml:space="preserve"> </v>
      </c>
      <c r="E111" s="177"/>
      <c r="F111" s="287">
        <v>0</v>
      </c>
      <c r="G111" s="177">
        <v>37</v>
      </c>
      <c r="H111" s="177">
        <v>37</v>
      </c>
      <c r="I111" s="177"/>
      <c r="J111" s="179"/>
      <c r="K111" s="177"/>
      <c r="L111" s="179"/>
      <c r="M111" s="166"/>
      <c r="N111" s="166"/>
      <c r="O111" s="166"/>
      <c r="P111" s="166"/>
      <c r="Q111" s="167"/>
      <c r="R111" s="167"/>
      <c r="S111" s="168"/>
      <c r="V111" s="144">
        <f t="shared" si="25"/>
        <v>0</v>
      </c>
      <c r="W111" s="144">
        <f t="shared" si="26"/>
        <v>0</v>
      </c>
      <c r="X111" s="144">
        <f t="shared" si="18"/>
        <v>0</v>
      </c>
      <c r="Y111" s="144">
        <f t="shared" si="27"/>
        <v>31.779800000000002</v>
      </c>
      <c r="Z111" s="169">
        <f t="shared" si="19"/>
        <v>0</v>
      </c>
      <c r="AA111" s="274">
        <f t="shared" si="20"/>
        <v>0</v>
      </c>
      <c r="AB111" s="169">
        <f t="shared" si="28"/>
        <v>0</v>
      </c>
      <c r="AC111" s="274">
        <f t="shared" si="21"/>
        <v>0</v>
      </c>
      <c r="AD111" s="169">
        <f t="shared" si="22"/>
        <v>0</v>
      </c>
      <c r="AE111" s="274">
        <f t="shared" si="23"/>
        <v>0</v>
      </c>
      <c r="AF111" s="169">
        <f t="shared" si="29"/>
        <v>0</v>
      </c>
      <c r="AG111" s="274">
        <f t="shared" si="24"/>
        <v>0</v>
      </c>
      <c r="AH111" s="169">
        <f t="shared" si="30"/>
        <v>0</v>
      </c>
      <c r="AI111" s="169"/>
      <c r="AJ111" s="169">
        <f t="shared" si="31"/>
        <v>0</v>
      </c>
      <c r="AK111" s="169">
        <f t="shared" si="32"/>
        <v>0</v>
      </c>
      <c r="AL111" s="169"/>
      <c r="AM111" s="169"/>
      <c r="AN111" s="169"/>
      <c r="AQ111" s="169"/>
      <c r="AW111" s="144">
        <f t="shared" si="33"/>
        <v>0</v>
      </c>
    </row>
    <row r="112" spans="1:49" ht="9.75" thickBot="1">
      <c r="A112" s="175"/>
      <c r="B112" s="176"/>
      <c r="C112" s="176"/>
      <c r="D112" s="170" t="str">
        <f t="shared" ref="D112:D175" si="34">VLOOKUP(C112,Tabelændringskode,2,1)</f>
        <v xml:space="preserve"> </v>
      </c>
      <c r="E112" s="178"/>
      <c r="F112" s="288">
        <v>0</v>
      </c>
      <c r="G112" s="178">
        <v>37</v>
      </c>
      <c r="H112" s="178">
        <v>37</v>
      </c>
      <c r="I112" s="178"/>
      <c r="J112" s="180"/>
      <c r="K112" s="178"/>
      <c r="L112" s="180"/>
      <c r="M112" s="180"/>
      <c r="N112" s="178"/>
      <c r="O112" s="178"/>
      <c r="P112" s="178"/>
      <c r="Q112" s="171">
        <f>AS112</f>
        <v>0</v>
      </c>
      <c r="R112" s="171">
        <f>AT112</f>
        <v>0</v>
      </c>
      <c r="S112" s="172">
        <f>AU112</f>
        <v>0</v>
      </c>
      <c r="U112" s="144">
        <f>IF(OR(C111=5,C112=5),0,1)</f>
        <v>1</v>
      </c>
      <c r="V112" s="144">
        <f t="shared" si="25"/>
        <v>0</v>
      </c>
      <c r="W112" s="144">
        <f t="shared" si="26"/>
        <v>0</v>
      </c>
      <c r="X112" s="144">
        <f t="shared" si="18"/>
        <v>0</v>
      </c>
      <c r="Y112" s="144">
        <f t="shared" si="27"/>
        <v>31.779800000000002</v>
      </c>
      <c r="Z112" s="169">
        <f t="shared" si="19"/>
        <v>0</v>
      </c>
      <c r="AA112" s="274">
        <f t="shared" si="20"/>
        <v>0</v>
      </c>
      <c r="AB112" s="169">
        <f t="shared" si="28"/>
        <v>0</v>
      </c>
      <c r="AC112" s="274">
        <f t="shared" si="21"/>
        <v>0</v>
      </c>
      <c r="AD112" s="169">
        <f t="shared" si="22"/>
        <v>0</v>
      </c>
      <c r="AE112" s="274">
        <f t="shared" si="23"/>
        <v>0</v>
      </c>
      <c r="AF112" s="169">
        <f t="shared" si="29"/>
        <v>0</v>
      </c>
      <c r="AG112" s="274">
        <f t="shared" si="24"/>
        <v>0</v>
      </c>
      <c r="AH112" s="169">
        <f t="shared" si="30"/>
        <v>0</v>
      </c>
      <c r="AI112" s="169"/>
      <c r="AJ112" s="169">
        <f t="shared" si="31"/>
        <v>0</v>
      </c>
      <c r="AK112" s="169">
        <f t="shared" si="32"/>
        <v>0</v>
      </c>
      <c r="AL112" s="169"/>
      <c r="AM112" s="169">
        <f>AK111*W111+AK112*W112</f>
        <v>0</v>
      </c>
      <c r="AN112" s="169">
        <f>(SUM(AD111:AG111)*W111+SUM(AD112:AG112)*W112)*12*VLOOKUP(C112,JNovergang,3,1)</f>
        <v>0</v>
      </c>
      <c r="AO112" s="169">
        <f>AM112-AN112</f>
        <v>0</v>
      </c>
      <c r="AP112" s="169">
        <f>M112*(100+X112)%</f>
        <v>0</v>
      </c>
      <c r="AQ112" s="274">
        <f>ROUND(M112*F112,2)</f>
        <v>0</v>
      </c>
      <c r="AS112" s="274">
        <f>ROUND((AP112+AQ112)+AM112*(N112/12),0)</f>
        <v>0</v>
      </c>
      <c r="AT112" s="274">
        <f>ROUND(AM112*(O112/12),0)</f>
        <v>0</v>
      </c>
      <c r="AU112" s="274">
        <f>ROUND(AM112*(P112/12)*U112,0)</f>
        <v>0</v>
      </c>
      <c r="AW112" s="144">
        <f t="shared" si="33"/>
        <v>0</v>
      </c>
    </row>
    <row r="113" spans="1:49">
      <c r="A113" s="173"/>
      <c r="B113" s="174"/>
      <c r="C113" s="174"/>
      <c r="D113" s="165" t="str">
        <f t="shared" si="34"/>
        <v xml:space="preserve"> </v>
      </c>
      <c r="E113" s="177"/>
      <c r="F113" s="287">
        <v>0</v>
      </c>
      <c r="G113" s="177">
        <v>37</v>
      </c>
      <c r="H113" s="177">
        <v>37</v>
      </c>
      <c r="I113" s="177"/>
      <c r="J113" s="179"/>
      <c r="K113" s="177"/>
      <c r="L113" s="179"/>
      <c r="M113" s="166"/>
      <c r="N113" s="166"/>
      <c r="O113" s="166"/>
      <c r="P113" s="166"/>
      <c r="Q113" s="167"/>
      <c r="R113" s="167"/>
      <c r="S113" s="168"/>
      <c r="V113" s="144">
        <f t="shared" si="25"/>
        <v>0</v>
      </c>
      <c r="W113" s="144">
        <f t="shared" si="26"/>
        <v>0</v>
      </c>
      <c r="X113" s="144">
        <f t="shared" si="18"/>
        <v>0</v>
      </c>
      <c r="Y113" s="144">
        <f t="shared" si="27"/>
        <v>31.779800000000002</v>
      </c>
      <c r="Z113" s="169">
        <f t="shared" si="19"/>
        <v>0</v>
      </c>
      <c r="AA113" s="274">
        <f t="shared" si="20"/>
        <v>0</v>
      </c>
      <c r="AB113" s="169">
        <f t="shared" si="28"/>
        <v>0</v>
      </c>
      <c r="AC113" s="274">
        <f t="shared" si="21"/>
        <v>0</v>
      </c>
      <c r="AD113" s="169">
        <f t="shared" si="22"/>
        <v>0</v>
      </c>
      <c r="AE113" s="274">
        <f t="shared" si="23"/>
        <v>0</v>
      </c>
      <c r="AF113" s="169">
        <f t="shared" si="29"/>
        <v>0</v>
      </c>
      <c r="AG113" s="274">
        <f t="shared" si="24"/>
        <v>0</v>
      </c>
      <c r="AH113" s="169">
        <f t="shared" si="30"/>
        <v>0</v>
      </c>
      <c r="AI113" s="169"/>
      <c r="AJ113" s="169">
        <f t="shared" si="31"/>
        <v>0</v>
      </c>
      <c r="AK113" s="169">
        <f t="shared" si="32"/>
        <v>0</v>
      </c>
      <c r="AL113" s="169"/>
      <c r="AM113" s="169"/>
      <c r="AN113" s="169"/>
      <c r="AQ113" s="169"/>
      <c r="AW113" s="144">
        <f t="shared" si="33"/>
        <v>0</v>
      </c>
    </row>
    <row r="114" spans="1:49" ht="9.75" thickBot="1">
      <c r="A114" s="175"/>
      <c r="B114" s="176"/>
      <c r="C114" s="176"/>
      <c r="D114" s="170" t="str">
        <f t="shared" si="34"/>
        <v xml:space="preserve"> </v>
      </c>
      <c r="E114" s="178"/>
      <c r="F114" s="288">
        <v>0</v>
      </c>
      <c r="G114" s="178">
        <v>37</v>
      </c>
      <c r="H114" s="178">
        <v>37</v>
      </c>
      <c r="I114" s="178"/>
      <c r="J114" s="180"/>
      <c r="K114" s="178"/>
      <c r="L114" s="180"/>
      <c r="M114" s="180"/>
      <c r="N114" s="178"/>
      <c r="O114" s="178"/>
      <c r="P114" s="178"/>
      <c r="Q114" s="171">
        <f>AS114</f>
        <v>0</v>
      </c>
      <c r="R114" s="171">
        <f>AT114</f>
        <v>0</v>
      </c>
      <c r="S114" s="172">
        <f>AU114</f>
        <v>0</v>
      </c>
      <c r="U114" s="144">
        <f>IF(OR(C113=5,C114=5),0,1)</f>
        <v>1</v>
      </c>
      <c r="V114" s="144">
        <f t="shared" si="25"/>
        <v>0</v>
      </c>
      <c r="W114" s="144">
        <f t="shared" si="26"/>
        <v>0</v>
      </c>
      <c r="X114" s="144">
        <f t="shared" si="18"/>
        <v>0</v>
      </c>
      <c r="Y114" s="144">
        <f t="shared" si="27"/>
        <v>31.779800000000002</v>
      </c>
      <c r="Z114" s="169">
        <f t="shared" si="19"/>
        <v>0</v>
      </c>
      <c r="AA114" s="274">
        <f t="shared" si="20"/>
        <v>0</v>
      </c>
      <c r="AB114" s="169">
        <f t="shared" si="28"/>
        <v>0</v>
      </c>
      <c r="AC114" s="274">
        <f t="shared" si="21"/>
        <v>0</v>
      </c>
      <c r="AD114" s="169">
        <f t="shared" si="22"/>
        <v>0</v>
      </c>
      <c r="AE114" s="274">
        <f t="shared" si="23"/>
        <v>0</v>
      </c>
      <c r="AF114" s="169">
        <f t="shared" si="29"/>
        <v>0</v>
      </c>
      <c r="AG114" s="274">
        <f t="shared" si="24"/>
        <v>0</v>
      </c>
      <c r="AH114" s="169">
        <f t="shared" si="30"/>
        <v>0</v>
      </c>
      <c r="AI114" s="169"/>
      <c r="AJ114" s="169">
        <f t="shared" si="31"/>
        <v>0</v>
      </c>
      <c r="AK114" s="169">
        <f t="shared" si="32"/>
        <v>0</v>
      </c>
      <c r="AL114" s="169"/>
      <c r="AM114" s="169">
        <f>AK113*W113+AK114*W114</f>
        <v>0</v>
      </c>
      <c r="AN114" s="169">
        <f>(SUM(AD113:AG113)*W113+SUM(AD114:AG114)*W114)*12*VLOOKUP(C114,JNovergang,3,1)</f>
        <v>0</v>
      </c>
      <c r="AO114" s="169">
        <f>AM114-AN114</f>
        <v>0</v>
      </c>
      <c r="AP114" s="169">
        <f>M114*(100+X114)%</f>
        <v>0</v>
      </c>
      <c r="AQ114" s="274">
        <f>ROUND(M114*F114,2)</f>
        <v>0</v>
      </c>
      <c r="AS114" s="274">
        <f>ROUND((AP114+AQ114)+AM114*(N114/12),0)</f>
        <v>0</v>
      </c>
      <c r="AT114" s="274">
        <f>ROUND(AM114*(O114/12),0)</f>
        <v>0</v>
      </c>
      <c r="AU114" s="274">
        <f>ROUND(AM114*(P114/12)*U114,0)</f>
        <v>0</v>
      </c>
      <c r="AW114" s="144">
        <f t="shared" si="33"/>
        <v>0</v>
      </c>
    </row>
    <row r="115" spans="1:49">
      <c r="A115" s="173"/>
      <c r="B115" s="174"/>
      <c r="C115" s="174"/>
      <c r="D115" s="165" t="str">
        <f t="shared" si="34"/>
        <v xml:space="preserve"> </v>
      </c>
      <c r="E115" s="177"/>
      <c r="F115" s="287">
        <v>0</v>
      </c>
      <c r="G115" s="177">
        <v>37</v>
      </c>
      <c r="H115" s="177">
        <v>37</v>
      </c>
      <c r="I115" s="177"/>
      <c r="J115" s="179"/>
      <c r="K115" s="177"/>
      <c r="L115" s="179"/>
      <c r="M115" s="166"/>
      <c r="N115" s="166"/>
      <c r="O115" s="166"/>
      <c r="P115" s="166"/>
      <c r="Q115" s="167"/>
      <c r="R115" s="167"/>
      <c r="S115" s="168"/>
      <c r="V115" s="144">
        <f t="shared" si="25"/>
        <v>0</v>
      </c>
      <c r="W115" s="144">
        <f t="shared" si="26"/>
        <v>0</v>
      </c>
      <c r="X115" s="144">
        <f t="shared" ref="X115:X178" si="35">VLOOKUP(C115,JNferiepenge,3,1)</f>
        <v>0</v>
      </c>
      <c r="Y115" s="144">
        <f t="shared" si="27"/>
        <v>31.779800000000002</v>
      </c>
      <c r="Z115" s="169">
        <f t="shared" si="19"/>
        <v>0</v>
      </c>
      <c r="AA115" s="274">
        <f t="shared" si="20"/>
        <v>0</v>
      </c>
      <c r="AB115" s="169">
        <f t="shared" si="28"/>
        <v>0</v>
      </c>
      <c r="AC115" s="274">
        <f t="shared" si="21"/>
        <v>0</v>
      </c>
      <c r="AD115" s="169">
        <f t="shared" si="22"/>
        <v>0</v>
      </c>
      <c r="AE115" s="274">
        <f t="shared" si="23"/>
        <v>0</v>
      </c>
      <c r="AF115" s="169">
        <f t="shared" si="29"/>
        <v>0</v>
      </c>
      <c r="AG115" s="274">
        <f t="shared" si="24"/>
        <v>0</v>
      </c>
      <c r="AH115" s="169">
        <f t="shared" si="30"/>
        <v>0</v>
      </c>
      <c r="AI115" s="169"/>
      <c r="AJ115" s="169">
        <f t="shared" si="31"/>
        <v>0</v>
      </c>
      <c r="AK115" s="169">
        <f t="shared" si="32"/>
        <v>0</v>
      </c>
      <c r="AL115" s="169"/>
      <c r="AM115" s="169"/>
      <c r="AN115" s="169"/>
      <c r="AQ115" s="169"/>
      <c r="AW115" s="144">
        <f t="shared" si="33"/>
        <v>0</v>
      </c>
    </row>
    <row r="116" spans="1:49" ht="9.75" thickBot="1">
      <c r="A116" s="175"/>
      <c r="B116" s="176"/>
      <c r="C116" s="176"/>
      <c r="D116" s="170" t="str">
        <f t="shared" si="34"/>
        <v xml:space="preserve"> </v>
      </c>
      <c r="E116" s="178"/>
      <c r="F116" s="288">
        <v>0</v>
      </c>
      <c r="G116" s="178">
        <v>37</v>
      </c>
      <c r="H116" s="178">
        <v>37</v>
      </c>
      <c r="I116" s="178"/>
      <c r="J116" s="180"/>
      <c r="K116" s="178"/>
      <c r="L116" s="180"/>
      <c r="M116" s="180"/>
      <c r="N116" s="178"/>
      <c r="O116" s="178"/>
      <c r="P116" s="178"/>
      <c r="Q116" s="171">
        <f>AS116</f>
        <v>0</v>
      </c>
      <c r="R116" s="171">
        <f>AT116</f>
        <v>0</v>
      </c>
      <c r="S116" s="172">
        <f>AU116</f>
        <v>0</v>
      </c>
      <c r="U116" s="144">
        <f>IF(OR(C115=5,C116=5),0,1)</f>
        <v>1</v>
      </c>
      <c r="V116" s="144">
        <f t="shared" si="25"/>
        <v>0</v>
      </c>
      <c r="W116" s="144">
        <f t="shared" si="26"/>
        <v>0</v>
      </c>
      <c r="X116" s="144">
        <f t="shared" si="35"/>
        <v>0</v>
      </c>
      <c r="Y116" s="144">
        <f t="shared" si="27"/>
        <v>31.779800000000002</v>
      </c>
      <c r="Z116" s="169">
        <f t="shared" si="19"/>
        <v>0</v>
      </c>
      <c r="AA116" s="274">
        <f t="shared" si="20"/>
        <v>0</v>
      </c>
      <c r="AB116" s="169">
        <f t="shared" si="28"/>
        <v>0</v>
      </c>
      <c r="AC116" s="274">
        <f t="shared" si="21"/>
        <v>0</v>
      </c>
      <c r="AD116" s="169">
        <f t="shared" si="22"/>
        <v>0</v>
      </c>
      <c r="AE116" s="274">
        <f t="shared" si="23"/>
        <v>0</v>
      </c>
      <c r="AF116" s="169">
        <f t="shared" si="29"/>
        <v>0</v>
      </c>
      <c r="AG116" s="274">
        <f t="shared" si="24"/>
        <v>0</v>
      </c>
      <c r="AH116" s="169">
        <f t="shared" si="30"/>
        <v>0</v>
      </c>
      <c r="AI116" s="169"/>
      <c r="AJ116" s="169">
        <f t="shared" si="31"/>
        <v>0</v>
      </c>
      <c r="AK116" s="169">
        <f t="shared" si="32"/>
        <v>0</v>
      </c>
      <c r="AL116" s="169"/>
      <c r="AM116" s="169">
        <f>AK115*W115+AK116*W116</f>
        <v>0</v>
      </c>
      <c r="AN116" s="169">
        <f>(SUM(AD115:AG115)*W115+SUM(AD116:AG116)*W116)*12*VLOOKUP(C116,JNovergang,3,1)</f>
        <v>0</v>
      </c>
      <c r="AO116" s="169">
        <f>AM116-AN116</f>
        <v>0</v>
      </c>
      <c r="AP116" s="169">
        <f>M116*(100+X116)%</f>
        <v>0</v>
      </c>
      <c r="AQ116" s="274">
        <f>ROUND(M116*F116,2)</f>
        <v>0</v>
      </c>
      <c r="AS116" s="274">
        <f>ROUND((AP116+AQ116)+AM116*(N116/12),0)</f>
        <v>0</v>
      </c>
      <c r="AT116" s="274">
        <f>ROUND(AM116*(O116/12),0)</f>
        <v>0</v>
      </c>
      <c r="AU116" s="274">
        <f>ROUND(AM116*(P116/12)*U116,0)</f>
        <v>0</v>
      </c>
      <c r="AW116" s="144">
        <f t="shared" si="33"/>
        <v>0</v>
      </c>
    </row>
    <row r="117" spans="1:49">
      <c r="A117" s="173"/>
      <c r="B117" s="174"/>
      <c r="C117" s="174"/>
      <c r="D117" s="165" t="str">
        <f t="shared" si="34"/>
        <v xml:space="preserve"> </v>
      </c>
      <c r="E117" s="177"/>
      <c r="F117" s="287">
        <v>0</v>
      </c>
      <c r="G117" s="177">
        <v>37</v>
      </c>
      <c r="H117" s="177">
        <v>37</v>
      </c>
      <c r="I117" s="177"/>
      <c r="J117" s="179"/>
      <c r="K117" s="177"/>
      <c r="L117" s="179"/>
      <c r="M117" s="166"/>
      <c r="N117" s="166"/>
      <c r="O117" s="166"/>
      <c r="P117" s="166"/>
      <c r="Q117" s="167"/>
      <c r="R117" s="167"/>
      <c r="S117" s="168"/>
      <c r="V117" s="144">
        <f t="shared" si="25"/>
        <v>0</v>
      </c>
      <c r="W117" s="144">
        <f t="shared" si="26"/>
        <v>0</v>
      </c>
      <c r="X117" s="144">
        <f t="shared" si="35"/>
        <v>0</v>
      </c>
      <c r="Y117" s="144">
        <f t="shared" si="27"/>
        <v>31.779800000000002</v>
      </c>
      <c r="Z117" s="169">
        <f t="shared" si="19"/>
        <v>0</v>
      </c>
      <c r="AA117" s="274">
        <f t="shared" si="20"/>
        <v>0</v>
      </c>
      <c r="AB117" s="169">
        <f t="shared" si="28"/>
        <v>0</v>
      </c>
      <c r="AC117" s="274">
        <f t="shared" si="21"/>
        <v>0</v>
      </c>
      <c r="AD117" s="169">
        <f t="shared" si="22"/>
        <v>0</v>
      </c>
      <c r="AE117" s="274">
        <f t="shared" si="23"/>
        <v>0</v>
      </c>
      <c r="AF117" s="169">
        <f t="shared" si="29"/>
        <v>0</v>
      </c>
      <c r="AG117" s="274">
        <f t="shared" si="24"/>
        <v>0</v>
      </c>
      <c r="AH117" s="169">
        <f t="shared" si="30"/>
        <v>0</v>
      </c>
      <c r="AI117" s="169"/>
      <c r="AJ117" s="169">
        <f t="shared" si="31"/>
        <v>0</v>
      </c>
      <c r="AK117" s="169">
        <f t="shared" si="32"/>
        <v>0</v>
      </c>
      <c r="AL117" s="169"/>
      <c r="AM117" s="169"/>
      <c r="AN117" s="169"/>
      <c r="AQ117" s="169"/>
      <c r="AW117" s="144">
        <f t="shared" si="33"/>
        <v>0</v>
      </c>
    </row>
    <row r="118" spans="1:49" ht="9.75" thickBot="1">
      <c r="A118" s="175"/>
      <c r="B118" s="176"/>
      <c r="C118" s="176"/>
      <c r="D118" s="170" t="str">
        <f t="shared" si="34"/>
        <v xml:space="preserve"> </v>
      </c>
      <c r="E118" s="178"/>
      <c r="F118" s="288">
        <v>0</v>
      </c>
      <c r="G118" s="178">
        <v>37</v>
      </c>
      <c r="H118" s="178">
        <v>37</v>
      </c>
      <c r="I118" s="178"/>
      <c r="J118" s="180"/>
      <c r="K118" s="178"/>
      <c r="L118" s="180"/>
      <c r="M118" s="180"/>
      <c r="N118" s="178"/>
      <c r="O118" s="178"/>
      <c r="P118" s="178"/>
      <c r="Q118" s="171">
        <f>AS118</f>
        <v>0</v>
      </c>
      <c r="R118" s="171">
        <f>AT118</f>
        <v>0</v>
      </c>
      <c r="S118" s="172">
        <f>AU118</f>
        <v>0</v>
      </c>
      <c r="U118" s="144">
        <f>IF(OR(C117=5,C118=5),0,1)</f>
        <v>1</v>
      </c>
      <c r="V118" s="144">
        <f t="shared" si="25"/>
        <v>0</v>
      </c>
      <c r="W118" s="144">
        <f t="shared" si="26"/>
        <v>0</v>
      </c>
      <c r="X118" s="144">
        <f t="shared" si="35"/>
        <v>0</v>
      </c>
      <c r="Y118" s="144">
        <f t="shared" si="27"/>
        <v>31.779800000000002</v>
      </c>
      <c r="Z118" s="169">
        <f t="shared" si="19"/>
        <v>0</v>
      </c>
      <c r="AA118" s="274">
        <f t="shared" si="20"/>
        <v>0</v>
      </c>
      <c r="AB118" s="169">
        <f t="shared" si="28"/>
        <v>0</v>
      </c>
      <c r="AC118" s="274">
        <f t="shared" si="21"/>
        <v>0</v>
      </c>
      <c r="AD118" s="169">
        <f t="shared" si="22"/>
        <v>0</v>
      </c>
      <c r="AE118" s="274">
        <f t="shared" si="23"/>
        <v>0</v>
      </c>
      <c r="AF118" s="169">
        <f t="shared" si="29"/>
        <v>0</v>
      </c>
      <c r="AG118" s="274">
        <f t="shared" si="24"/>
        <v>0</v>
      </c>
      <c r="AH118" s="169">
        <f t="shared" si="30"/>
        <v>0</v>
      </c>
      <c r="AI118" s="169"/>
      <c r="AJ118" s="169">
        <f t="shared" si="31"/>
        <v>0</v>
      </c>
      <c r="AK118" s="169">
        <f t="shared" si="32"/>
        <v>0</v>
      </c>
      <c r="AL118" s="169"/>
      <c r="AM118" s="169">
        <f>AK117*W117+AK118*W118</f>
        <v>0</v>
      </c>
      <c r="AN118" s="169">
        <f>(SUM(AD117:AG117)*W117+SUM(AD118:AG118)*W118)*12*VLOOKUP(C118,JNovergang,3,1)</f>
        <v>0</v>
      </c>
      <c r="AO118" s="169">
        <f>AM118-AN118</f>
        <v>0</v>
      </c>
      <c r="AP118" s="169">
        <f>M118*(100+X118)%</f>
        <v>0</v>
      </c>
      <c r="AQ118" s="274">
        <f>ROUND(M118*F118,2)</f>
        <v>0</v>
      </c>
      <c r="AS118" s="274">
        <f>ROUND((AP118+AQ118)+AM118*(N118/12),0)</f>
        <v>0</v>
      </c>
      <c r="AT118" s="274">
        <f>ROUND(AM118*(O118/12),0)</f>
        <v>0</v>
      </c>
      <c r="AU118" s="274">
        <f>ROUND(AM118*(P118/12)*U118,0)</f>
        <v>0</v>
      </c>
      <c r="AW118" s="144">
        <f t="shared" si="33"/>
        <v>0</v>
      </c>
    </row>
    <row r="119" spans="1:49">
      <c r="A119" s="173"/>
      <c r="B119" s="174"/>
      <c r="C119" s="174"/>
      <c r="D119" s="165" t="str">
        <f t="shared" si="34"/>
        <v xml:space="preserve"> </v>
      </c>
      <c r="E119" s="177"/>
      <c r="F119" s="287">
        <v>0</v>
      </c>
      <c r="G119" s="177">
        <v>37</v>
      </c>
      <c r="H119" s="177">
        <v>37</v>
      </c>
      <c r="I119" s="177"/>
      <c r="J119" s="179"/>
      <c r="K119" s="177"/>
      <c r="L119" s="179"/>
      <c r="M119" s="166"/>
      <c r="N119" s="166"/>
      <c r="O119" s="166"/>
      <c r="P119" s="166"/>
      <c r="Q119" s="167"/>
      <c r="R119" s="167"/>
      <c r="S119" s="168"/>
      <c r="V119" s="144">
        <f t="shared" si="25"/>
        <v>0</v>
      </c>
      <c r="W119" s="144">
        <f t="shared" si="26"/>
        <v>0</v>
      </c>
      <c r="X119" s="144">
        <f t="shared" si="35"/>
        <v>0</v>
      </c>
      <c r="Y119" s="144">
        <f t="shared" si="27"/>
        <v>31.779800000000002</v>
      </c>
      <c r="Z119" s="169">
        <f t="shared" si="19"/>
        <v>0</v>
      </c>
      <c r="AA119" s="274">
        <f t="shared" si="20"/>
        <v>0</v>
      </c>
      <c r="AB119" s="169">
        <f t="shared" si="28"/>
        <v>0</v>
      </c>
      <c r="AC119" s="274">
        <f t="shared" si="21"/>
        <v>0</v>
      </c>
      <c r="AD119" s="169">
        <f t="shared" si="22"/>
        <v>0</v>
      </c>
      <c r="AE119" s="274">
        <f t="shared" si="23"/>
        <v>0</v>
      </c>
      <c r="AF119" s="169">
        <f t="shared" si="29"/>
        <v>0</v>
      </c>
      <c r="AG119" s="274">
        <f t="shared" si="24"/>
        <v>0</v>
      </c>
      <c r="AH119" s="169">
        <f t="shared" si="30"/>
        <v>0</v>
      </c>
      <c r="AI119" s="169"/>
      <c r="AJ119" s="169">
        <f t="shared" si="31"/>
        <v>0</v>
      </c>
      <c r="AK119" s="169">
        <f t="shared" si="32"/>
        <v>0</v>
      </c>
      <c r="AL119" s="169"/>
      <c r="AM119" s="169"/>
      <c r="AN119" s="169"/>
      <c r="AQ119" s="169"/>
      <c r="AW119" s="144">
        <f t="shared" si="33"/>
        <v>0</v>
      </c>
    </row>
    <row r="120" spans="1:49" ht="9.75" thickBot="1">
      <c r="A120" s="175"/>
      <c r="B120" s="176"/>
      <c r="C120" s="176"/>
      <c r="D120" s="170" t="str">
        <f t="shared" si="34"/>
        <v xml:space="preserve"> </v>
      </c>
      <c r="E120" s="178"/>
      <c r="F120" s="288">
        <v>0</v>
      </c>
      <c r="G120" s="178">
        <v>37</v>
      </c>
      <c r="H120" s="178">
        <v>37</v>
      </c>
      <c r="I120" s="178"/>
      <c r="J120" s="180"/>
      <c r="K120" s="178"/>
      <c r="L120" s="180"/>
      <c r="M120" s="180"/>
      <c r="N120" s="178"/>
      <c r="O120" s="178"/>
      <c r="P120" s="178"/>
      <c r="Q120" s="171">
        <f>AS120</f>
        <v>0</v>
      </c>
      <c r="R120" s="171">
        <f>AT120</f>
        <v>0</v>
      </c>
      <c r="S120" s="172">
        <f>AU120</f>
        <v>0</v>
      </c>
      <c r="U120" s="144">
        <f>IF(OR(C119=5,C120=5),0,1)</f>
        <v>1</v>
      </c>
      <c r="V120" s="144">
        <f t="shared" si="25"/>
        <v>0</v>
      </c>
      <c r="W120" s="144">
        <f t="shared" si="26"/>
        <v>0</v>
      </c>
      <c r="X120" s="144">
        <f t="shared" si="35"/>
        <v>0</v>
      </c>
      <c r="Y120" s="144">
        <f t="shared" si="27"/>
        <v>31.779800000000002</v>
      </c>
      <c r="Z120" s="169">
        <f t="shared" si="19"/>
        <v>0</v>
      </c>
      <c r="AA120" s="274">
        <f t="shared" si="20"/>
        <v>0</v>
      </c>
      <c r="AB120" s="169">
        <f t="shared" si="28"/>
        <v>0</v>
      </c>
      <c r="AC120" s="274">
        <f t="shared" si="21"/>
        <v>0</v>
      </c>
      <c r="AD120" s="169">
        <f t="shared" si="22"/>
        <v>0</v>
      </c>
      <c r="AE120" s="274">
        <f t="shared" si="23"/>
        <v>0</v>
      </c>
      <c r="AF120" s="169">
        <f t="shared" si="29"/>
        <v>0</v>
      </c>
      <c r="AG120" s="274">
        <f t="shared" si="24"/>
        <v>0</v>
      </c>
      <c r="AH120" s="169">
        <f t="shared" si="30"/>
        <v>0</v>
      </c>
      <c r="AI120" s="169"/>
      <c r="AJ120" s="169">
        <f t="shared" si="31"/>
        <v>0</v>
      </c>
      <c r="AK120" s="169">
        <f t="shared" si="32"/>
        <v>0</v>
      </c>
      <c r="AL120" s="169"/>
      <c r="AM120" s="169">
        <f>AK119*W119+AK120*W120</f>
        <v>0</v>
      </c>
      <c r="AN120" s="169">
        <f>(SUM(AD119:AG119)*W119+SUM(AD120:AG120)*W120)*12*VLOOKUP(C120,JNovergang,3,1)</f>
        <v>0</v>
      </c>
      <c r="AO120" s="169">
        <f>AM120-AN120</f>
        <v>0</v>
      </c>
      <c r="AP120" s="169">
        <f>M120*(100+X120)%</f>
        <v>0</v>
      </c>
      <c r="AQ120" s="274">
        <f>ROUND(M120*F120,2)</f>
        <v>0</v>
      </c>
      <c r="AS120" s="274">
        <f>ROUND((AP120+AQ120)+AM120*(N120/12),0)</f>
        <v>0</v>
      </c>
      <c r="AT120" s="274">
        <f>ROUND(AM120*(O120/12),0)</f>
        <v>0</v>
      </c>
      <c r="AU120" s="274">
        <f>ROUND(AM120*(P120/12)*U120,0)</f>
        <v>0</v>
      </c>
      <c r="AW120" s="144">
        <f t="shared" si="33"/>
        <v>0</v>
      </c>
    </row>
    <row r="121" spans="1:49">
      <c r="A121" s="173"/>
      <c r="B121" s="174"/>
      <c r="C121" s="174"/>
      <c r="D121" s="165" t="str">
        <f t="shared" si="34"/>
        <v xml:space="preserve"> </v>
      </c>
      <c r="E121" s="177"/>
      <c r="F121" s="287">
        <v>0</v>
      </c>
      <c r="G121" s="177">
        <v>37</v>
      </c>
      <c r="H121" s="177">
        <v>37</v>
      </c>
      <c r="I121" s="177"/>
      <c r="J121" s="179"/>
      <c r="K121" s="177"/>
      <c r="L121" s="179"/>
      <c r="M121" s="166"/>
      <c r="N121" s="166"/>
      <c r="O121" s="166"/>
      <c r="P121" s="166"/>
      <c r="Q121" s="167"/>
      <c r="R121" s="167"/>
      <c r="S121" s="168"/>
      <c r="V121" s="144">
        <f t="shared" si="25"/>
        <v>0</v>
      </c>
      <c r="W121" s="144">
        <f t="shared" si="26"/>
        <v>0</v>
      </c>
      <c r="X121" s="144">
        <f t="shared" si="35"/>
        <v>0</v>
      </c>
      <c r="Y121" s="144">
        <f t="shared" si="27"/>
        <v>31.779800000000002</v>
      </c>
      <c r="Z121" s="169">
        <f t="shared" si="19"/>
        <v>0</v>
      </c>
      <c r="AA121" s="274">
        <f t="shared" si="20"/>
        <v>0</v>
      </c>
      <c r="AB121" s="169">
        <f t="shared" si="28"/>
        <v>0</v>
      </c>
      <c r="AC121" s="274">
        <f t="shared" si="21"/>
        <v>0</v>
      </c>
      <c r="AD121" s="169">
        <f t="shared" si="22"/>
        <v>0</v>
      </c>
      <c r="AE121" s="274">
        <f t="shared" si="23"/>
        <v>0</v>
      </c>
      <c r="AF121" s="169">
        <f t="shared" si="29"/>
        <v>0</v>
      </c>
      <c r="AG121" s="274">
        <f t="shared" si="24"/>
        <v>0</v>
      </c>
      <c r="AH121" s="169">
        <f t="shared" si="30"/>
        <v>0</v>
      </c>
      <c r="AI121" s="169"/>
      <c r="AJ121" s="169">
        <f t="shared" si="31"/>
        <v>0</v>
      </c>
      <c r="AK121" s="169">
        <f t="shared" si="32"/>
        <v>0</v>
      </c>
      <c r="AL121" s="169"/>
      <c r="AM121" s="169"/>
      <c r="AN121" s="169"/>
      <c r="AQ121" s="169"/>
      <c r="AW121" s="144">
        <f t="shared" si="33"/>
        <v>0</v>
      </c>
    </row>
    <row r="122" spans="1:49" ht="9.75" thickBot="1">
      <c r="A122" s="175"/>
      <c r="B122" s="176"/>
      <c r="C122" s="176"/>
      <c r="D122" s="170" t="str">
        <f t="shared" si="34"/>
        <v xml:space="preserve"> </v>
      </c>
      <c r="E122" s="178"/>
      <c r="F122" s="288">
        <v>0</v>
      </c>
      <c r="G122" s="178">
        <v>37</v>
      </c>
      <c r="H122" s="178">
        <v>37</v>
      </c>
      <c r="I122" s="178"/>
      <c r="J122" s="180"/>
      <c r="K122" s="178"/>
      <c r="L122" s="180"/>
      <c r="M122" s="180"/>
      <c r="N122" s="178"/>
      <c r="O122" s="178"/>
      <c r="P122" s="178"/>
      <c r="Q122" s="171">
        <f>AS122</f>
        <v>0</v>
      </c>
      <c r="R122" s="171">
        <f>AT122</f>
        <v>0</v>
      </c>
      <c r="S122" s="172">
        <f>AU122</f>
        <v>0</v>
      </c>
      <c r="U122" s="144">
        <f>IF(OR(C121=5,C122=5),0,1)</f>
        <v>1</v>
      </c>
      <c r="V122" s="144">
        <f t="shared" si="25"/>
        <v>0</v>
      </c>
      <c r="W122" s="144">
        <f t="shared" si="26"/>
        <v>0</v>
      </c>
      <c r="X122" s="144">
        <f t="shared" si="35"/>
        <v>0</v>
      </c>
      <c r="Y122" s="144">
        <f t="shared" si="27"/>
        <v>31.779800000000002</v>
      </c>
      <c r="Z122" s="169">
        <f t="shared" si="19"/>
        <v>0</v>
      </c>
      <c r="AA122" s="274">
        <f t="shared" si="20"/>
        <v>0</v>
      </c>
      <c r="AB122" s="169">
        <f t="shared" si="28"/>
        <v>0</v>
      </c>
      <c r="AC122" s="274">
        <f t="shared" si="21"/>
        <v>0</v>
      </c>
      <c r="AD122" s="169">
        <f t="shared" si="22"/>
        <v>0</v>
      </c>
      <c r="AE122" s="274">
        <f t="shared" si="23"/>
        <v>0</v>
      </c>
      <c r="AF122" s="169">
        <f t="shared" si="29"/>
        <v>0</v>
      </c>
      <c r="AG122" s="274">
        <f t="shared" si="24"/>
        <v>0</v>
      </c>
      <c r="AH122" s="169">
        <f t="shared" si="30"/>
        <v>0</v>
      </c>
      <c r="AI122" s="169"/>
      <c r="AJ122" s="169">
        <f t="shared" si="31"/>
        <v>0</v>
      </c>
      <c r="AK122" s="169">
        <f t="shared" si="32"/>
        <v>0</v>
      </c>
      <c r="AL122" s="169"/>
      <c r="AM122" s="169">
        <f>AK121*W121+AK122*W122</f>
        <v>0</v>
      </c>
      <c r="AN122" s="169">
        <f>(SUM(AD121:AG121)*W121+SUM(AD122:AG122)*W122)*12*VLOOKUP(C122,JNovergang,3,1)</f>
        <v>0</v>
      </c>
      <c r="AO122" s="169">
        <f>AM122-AN122</f>
        <v>0</v>
      </c>
      <c r="AP122" s="169">
        <f>M122*(100+X122)%</f>
        <v>0</v>
      </c>
      <c r="AQ122" s="274">
        <f>ROUND(M122*F122,2)</f>
        <v>0</v>
      </c>
      <c r="AS122" s="274">
        <f>ROUND((AP122+AQ122)+AM122*(N122/12),0)</f>
        <v>0</v>
      </c>
      <c r="AT122" s="274">
        <f>ROUND(AM122*(O122/12),0)</f>
        <v>0</v>
      </c>
      <c r="AU122" s="274">
        <f>ROUND(AM122*(P122/12)*U122,0)</f>
        <v>0</v>
      </c>
      <c r="AW122" s="144">
        <f t="shared" si="33"/>
        <v>0</v>
      </c>
    </row>
    <row r="123" spans="1:49">
      <c r="A123" s="173"/>
      <c r="B123" s="174"/>
      <c r="C123" s="174"/>
      <c r="D123" s="165" t="str">
        <f t="shared" si="34"/>
        <v xml:space="preserve"> </v>
      </c>
      <c r="E123" s="177"/>
      <c r="F123" s="287">
        <v>0</v>
      </c>
      <c r="G123" s="177">
        <v>37</v>
      </c>
      <c r="H123" s="177">
        <v>37</v>
      </c>
      <c r="I123" s="177"/>
      <c r="J123" s="179"/>
      <c r="K123" s="177"/>
      <c r="L123" s="179"/>
      <c r="M123" s="166"/>
      <c r="N123" s="166"/>
      <c r="O123" s="166"/>
      <c r="P123" s="166"/>
      <c r="Q123" s="167"/>
      <c r="R123" s="167"/>
      <c r="S123" s="168"/>
      <c r="V123" s="144">
        <f t="shared" si="25"/>
        <v>0</v>
      </c>
      <c r="W123" s="144">
        <f t="shared" si="26"/>
        <v>0</v>
      </c>
      <c r="X123" s="144">
        <f t="shared" si="35"/>
        <v>0</v>
      </c>
      <c r="Y123" s="144">
        <f t="shared" si="27"/>
        <v>31.779800000000002</v>
      </c>
      <c r="Z123" s="169">
        <f t="shared" si="19"/>
        <v>0</v>
      </c>
      <c r="AA123" s="274">
        <f t="shared" si="20"/>
        <v>0</v>
      </c>
      <c r="AB123" s="169">
        <f t="shared" si="28"/>
        <v>0</v>
      </c>
      <c r="AC123" s="274">
        <f t="shared" si="21"/>
        <v>0</v>
      </c>
      <c r="AD123" s="169">
        <f t="shared" si="22"/>
        <v>0</v>
      </c>
      <c r="AE123" s="274">
        <f t="shared" si="23"/>
        <v>0</v>
      </c>
      <c r="AF123" s="169">
        <f t="shared" si="29"/>
        <v>0</v>
      </c>
      <c r="AG123" s="274">
        <f t="shared" si="24"/>
        <v>0</v>
      </c>
      <c r="AH123" s="169">
        <f t="shared" si="30"/>
        <v>0</v>
      </c>
      <c r="AI123" s="169"/>
      <c r="AJ123" s="169">
        <f t="shared" si="31"/>
        <v>0</v>
      </c>
      <c r="AK123" s="169">
        <f t="shared" si="32"/>
        <v>0</v>
      </c>
      <c r="AL123" s="169"/>
      <c r="AM123" s="169"/>
      <c r="AN123" s="169"/>
      <c r="AQ123" s="169"/>
      <c r="AW123" s="144">
        <f t="shared" si="33"/>
        <v>0</v>
      </c>
    </row>
    <row r="124" spans="1:49" ht="9.75" thickBot="1">
      <c r="A124" s="175"/>
      <c r="B124" s="176"/>
      <c r="C124" s="176"/>
      <c r="D124" s="170" t="str">
        <f t="shared" si="34"/>
        <v xml:space="preserve"> </v>
      </c>
      <c r="E124" s="178"/>
      <c r="F124" s="288">
        <v>0</v>
      </c>
      <c r="G124" s="178">
        <v>37</v>
      </c>
      <c r="H124" s="178">
        <v>37</v>
      </c>
      <c r="I124" s="178"/>
      <c r="J124" s="180"/>
      <c r="K124" s="178"/>
      <c r="L124" s="180"/>
      <c r="M124" s="180"/>
      <c r="N124" s="178"/>
      <c r="O124" s="178"/>
      <c r="P124" s="178"/>
      <c r="Q124" s="171">
        <f>AS124</f>
        <v>0</v>
      </c>
      <c r="R124" s="171">
        <f>AT124</f>
        <v>0</v>
      </c>
      <c r="S124" s="172">
        <f>AU124</f>
        <v>0</v>
      </c>
      <c r="U124" s="144">
        <f>IF(OR(C123=5,C124=5),0,1)</f>
        <v>1</v>
      </c>
      <c r="V124" s="144">
        <f t="shared" si="25"/>
        <v>0</v>
      </c>
      <c r="W124" s="144">
        <f t="shared" si="26"/>
        <v>0</v>
      </c>
      <c r="X124" s="144">
        <f t="shared" si="35"/>
        <v>0</v>
      </c>
      <c r="Y124" s="144">
        <f t="shared" si="27"/>
        <v>31.779800000000002</v>
      </c>
      <c r="Z124" s="169">
        <f t="shared" si="19"/>
        <v>0</v>
      </c>
      <c r="AA124" s="274">
        <f t="shared" si="20"/>
        <v>0</v>
      </c>
      <c r="AB124" s="169">
        <f t="shared" si="28"/>
        <v>0</v>
      </c>
      <c r="AC124" s="274">
        <f t="shared" si="21"/>
        <v>0</v>
      </c>
      <c r="AD124" s="169">
        <f t="shared" si="22"/>
        <v>0</v>
      </c>
      <c r="AE124" s="274">
        <f t="shared" si="23"/>
        <v>0</v>
      </c>
      <c r="AF124" s="169">
        <f t="shared" si="29"/>
        <v>0</v>
      </c>
      <c r="AG124" s="274">
        <f t="shared" si="24"/>
        <v>0</v>
      </c>
      <c r="AH124" s="169">
        <f t="shared" si="30"/>
        <v>0</v>
      </c>
      <c r="AI124" s="169"/>
      <c r="AJ124" s="169">
        <f t="shared" si="31"/>
        <v>0</v>
      </c>
      <c r="AK124" s="169">
        <f t="shared" si="32"/>
        <v>0</v>
      </c>
      <c r="AL124" s="169"/>
      <c r="AM124" s="169">
        <f>AK123*W123+AK124*W124</f>
        <v>0</v>
      </c>
      <c r="AN124" s="169">
        <f>(SUM(AD123:AG123)*W123+SUM(AD124:AG124)*W124)*12*VLOOKUP(C124,JNovergang,3,1)</f>
        <v>0</v>
      </c>
      <c r="AO124" s="169">
        <f>AM124-AN124</f>
        <v>0</v>
      </c>
      <c r="AP124" s="169">
        <f>M124*(100+X124)%</f>
        <v>0</v>
      </c>
      <c r="AQ124" s="274">
        <f>ROUND(M124*F124,2)</f>
        <v>0</v>
      </c>
      <c r="AS124" s="274">
        <f>ROUND((AP124+AQ124)+AM124*(N124/12),0)</f>
        <v>0</v>
      </c>
      <c r="AT124" s="274">
        <f>ROUND(AM124*(O124/12),0)</f>
        <v>0</v>
      </c>
      <c r="AU124" s="274">
        <f>ROUND(AM124*(P124/12)*U124,0)</f>
        <v>0</v>
      </c>
      <c r="AW124" s="144">
        <f t="shared" si="33"/>
        <v>0</v>
      </c>
    </row>
    <row r="125" spans="1:49">
      <c r="A125" s="173"/>
      <c r="B125" s="174"/>
      <c r="C125" s="174"/>
      <c r="D125" s="165" t="str">
        <f t="shared" si="34"/>
        <v xml:space="preserve"> </v>
      </c>
      <c r="E125" s="177"/>
      <c r="F125" s="287">
        <v>0</v>
      </c>
      <c r="G125" s="177">
        <v>37</v>
      </c>
      <c r="H125" s="177">
        <v>37</v>
      </c>
      <c r="I125" s="177"/>
      <c r="J125" s="179"/>
      <c r="K125" s="177"/>
      <c r="L125" s="179"/>
      <c r="M125" s="166"/>
      <c r="N125" s="166"/>
      <c r="O125" s="166"/>
      <c r="P125" s="166"/>
      <c r="Q125" s="167"/>
      <c r="R125" s="167"/>
      <c r="S125" s="168"/>
      <c r="V125" s="144">
        <f t="shared" si="25"/>
        <v>0</v>
      </c>
      <c r="W125" s="144">
        <f t="shared" si="26"/>
        <v>0</v>
      </c>
      <c r="X125" s="144">
        <f t="shared" si="35"/>
        <v>0</v>
      </c>
      <c r="Y125" s="144">
        <f t="shared" si="27"/>
        <v>31.779800000000002</v>
      </c>
      <c r="Z125" s="169">
        <f t="shared" si="19"/>
        <v>0</v>
      </c>
      <c r="AA125" s="274">
        <f t="shared" si="20"/>
        <v>0</v>
      </c>
      <c r="AB125" s="169">
        <f t="shared" si="28"/>
        <v>0</v>
      </c>
      <c r="AC125" s="274">
        <f t="shared" si="21"/>
        <v>0</v>
      </c>
      <c r="AD125" s="169">
        <f t="shared" si="22"/>
        <v>0</v>
      </c>
      <c r="AE125" s="274">
        <f t="shared" si="23"/>
        <v>0</v>
      </c>
      <c r="AF125" s="169">
        <f t="shared" si="29"/>
        <v>0</v>
      </c>
      <c r="AG125" s="274">
        <f t="shared" si="24"/>
        <v>0</v>
      </c>
      <c r="AH125" s="169">
        <f t="shared" si="30"/>
        <v>0</v>
      </c>
      <c r="AI125" s="169"/>
      <c r="AJ125" s="169">
        <f t="shared" si="31"/>
        <v>0</v>
      </c>
      <c r="AK125" s="169">
        <f t="shared" si="32"/>
        <v>0</v>
      </c>
      <c r="AL125" s="169"/>
      <c r="AM125" s="169"/>
      <c r="AN125" s="169"/>
      <c r="AQ125" s="169"/>
      <c r="AW125" s="144">
        <f t="shared" si="33"/>
        <v>0</v>
      </c>
    </row>
    <row r="126" spans="1:49" ht="9.75" thickBot="1">
      <c r="A126" s="175"/>
      <c r="B126" s="176"/>
      <c r="C126" s="176"/>
      <c r="D126" s="170" t="str">
        <f t="shared" si="34"/>
        <v xml:space="preserve"> </v>
      </c>
      <c r="E126" s="178"/>
      <c r="F126" s="288">
        <v>0</v>
      </c>
      <c r="G126" s="178">
        <v>37</v>
      </c>
      <c r="H126" s="178">
        <v>37</v>
      </c>
      <c r="I126" s="178"/>
      <c r="J126" s="180"/>
      <c r="K126" s="178"/>
      <c r="L126" s="180"/>
      <c r="M126" s="180"/>
      <c r="N126" s="178"/>
      <c r="O126" s="178"/>
      <c r="P126" s="178"/>
      <c r="Q126" s="171">
        <f>AS126</f>
        <v>0</v>
      </c>
      <c r="R126" s="171">
        <f>AT126</f>
        <v>0</v>
      </c>
      <c r="S126" s="172">
        <f>AU126</f>
        <v>0</v>
      </c>
      <c r="U126" s="144">
        <f>IF(OR(C125=5,C126=5),0,1)</f>
        <v>1</v>
      </c>
      <c r="V126" s="144">
        <f t="shared" si="25"/>
        <v>0</v>
      </c>
      <c r="W126" s="144">
        <f t="shared" si="26"/>
        <v>0</v>
      </c>
      <c r="X126" s="144">
        <f t="shared" si="35"/>
        <v>0</v>
      </c>
      <c r="Y126" s="144">
        <f t="shared" si="27"/>
        <v>31.779800000000002</v>
      </c>
      <c r="Z126" s="169">
        <f t="shared" si="19"/>
        <v>0</v>
      </c>
      <c r="AA126" s="274">
        <f t="shared" si="20"/>
        <v>0</v>
      </c>
      <c r="AB126" s="169">
        <f t="shared" si="28"/>
        <v>0</v>
      </c>
      <c r="AC126" s="274">
        <f t="shared" si="21"/>
        <v>0</v>
      </c>
      <c r="AD126" s="169">
        <f t="shared" si="22"/>
        <v>0</v>
      </c>
      <c r="AE126" s="274">
        <f t="shared" si="23"/>
        <v>0</v>
      </c>
      <c r="AF126" s="169">
        <f t="shared" si="29"/>
        <v>0</v>
      </c>
      <c r="AG126" s="274">
        <f t="shared" si="24"/>
        <v>0</v>
      </c>
      <c r="AH126" s="169">
        <f t="shared" si="30"/>
        <v>0</v>
      </c>
      <c r="AI126" s="169"/>
      <c r="AJ126" s="169">
        <f t="shared" si="31"/>
        <v>0</v>
      </c>
      <c r="AK126" s="169">
        <f t="shared" si="32"/>
        <v>0</v>
      </c>
      <c r="AL126" s="169"/>
      <c r="AM126" s="169">
        <f>AK125*W125+AK126*W126</f>
        <v>0</v>
      </c>
      <c r="AN126" s="169">
        <f>(SUM(AD125:AG125)*W125+SUM(AD126:AG126)*W126)*12*VLOOKUP(C126,JNovergang,3,1)</f>
        <v>0</v>
      </c>
      <c r="AO126" s="169">
        <f>AM126-AN126</f>
        <v>0</v>
      </c>
      <c r="AP126" s="169">
        <f>M126*(100+X126)%</f>
        <v>0</v>
      </c>
      <c r="AQ126" s="274">
        <f>ROUND(M126*F126,2)</f>
        <v>0</v>
      </c>
      <c r="AS126" s="274">
        <f>ROUND((AP126+AQ126)+AM126*(N126/12),0)</f>
        <v>0</v>
      </c>
      <c r="AT126" s="274">
        <f>ROUND(AM126*(O126/12),0)</f>
        <v>0</v>
      </c>
      <c r="AU126" s="274">
        <f>ROUND(AM126*(P126/12)*U126,0)</f>
        <v>0</v>
      </c>
      <c r="AW126" s="144">
        <f t="shared" si="33"/>
        <v>0</v>
      </c>
    </row>
    <row r="127" spans="1:49">
      <c r="A127" s="173"/>
      <c r="B127" s="174"/>
      <c r="C127" s="174"/>
      <c r="D127" s="165" t="str">
        <f t="shared" si="34"/>
        <v xml:space="preserve"> </v>
      </c>
      <c r="E127" s="177"/>
      <c r="F127" s="287">
        <v>0</v>
      </c>
      <c r="G127" s="177">
        <v>37</v>
      </c>
      <c r="H127" s="177">
        <v>37</v>
      </c>
      <c r="I127" s="177"/>
      <c r="J127" s="179"/>
      <c r="K127" s="177"/>
      <c r="L127" s="179"/>
      <c r="M127" s="166"/>
      <c r="N127" s="166"/>
      <c r="O127" s="166"/>
      <c r="P127" s="166"/>
      <c r="Q127" s="167"/>
      <c r="R127" s="167"/>
      <c r="S127" s="168"/>
      <c r="V127" s="144">
        <f t="shared" si="25"/>
        <v>0</v>
      </c>
      <c r="W127" s="144">
        <f t="shared" si="26"/>
        <v>0</v>
      </c>
      <c r="X127" s="144">
        <f t="shared" si="35"/>
        <v>0</v>
      </c>
      <c r="Y127" s="144">
        <f t="shared" si="27"/>
        <v>31.779800000000002</v>
      </c>
      <c r="Z127" s="169">
        <f t="shared" si="19"/>
        <v>0</v>
      </c>
      <c r="AA127" s="274">
        <f t="shared" si="20"/>
        <v>0</v>
      </c>
      <c r="AB127" s="169">
        <f t="shared" si="28"/>
        <v>0</v>
      </c>
      <c r="AC127" s="274">
        <f t="shared" si="21"/>
        <v>0</v>
      </c>
      <c r="AD127" s="169">
        <f t="shared" si="22"/>
        <v>0</v>
      </c>
      <c r="AE127" s="274">
        <f t="shared" si="23"/>
        <v>0</v>
      </c>
      <c r="AF127" s="169">
        <f t="shared" si="29"/>
        <v>0</v>
      </c>
      <c r="AG127" s="274">
        <f t="shared" si="24"/>
        <v>0</v>
      </c>
      <c r="AH127" s="169">
        <f t="shared" si="30"/>
        <v>0</v>
      </c>
      <c r="AI127" s="169"/>
      <c r="AJ127" s="169">
        <f t="shared" si="31"/>
        <v>0</v>
      </c>
      <c r="AK127" s="169">
        <f t="shared" si="32"/>
        <v>0</v>
      </c>
      <c r="AL127" s="169"/>
      <c r="AM127" s="169"/>
      <c r="AN127" s="169"/>
      <c r="AQ127" s="169"/>
      <c r="AW127" s="144">
        <f t="shared" si="33"/>
        <v>0</v>
      </c>
    </row>
    <row r="128" spans="1:49" ht="9.75" thickBot="1">
      <c r="A128" s="175"/>
      <c r="B128" s="176"/>
      <c r="C128" s="176"/>
      <c r="D128" s="170" t="str">
        <f t="shared" si="34"/>
        <v xml:space="preserve"> </v>
      </c>
      <c r="E128" s="178"/>
      <c r="F128" s="288">
        <v>0</v>
      </c>
      <c r="G128" s="178">
        <v>37</v>
      </c>
      <c r="H128" s="178">
        <v>37</v>
      </c>
      <c r="I128" s="178"/>
      <c r="J128" s="180"/>
      <c r="K128" s="178"/>
      <c r="L128" s="180"/>
      <c r="M128" s="180"/>
      <c r="N128" s="178"/>
      <c r="O128" s="178"/>
      <c r="P128" s="178"/>
      <c r="Q128" s="171">
        <f>AS128</f>
        <v>0</v>
      </c>
      <c r="R128" s="171">
        <f>AT128</f>
        <v>0</v>
      </c>
      <c r="S128" s="172">
        <f>AU128</f>
        <v>0</v>
      </c>
      <c r="U128" s="144">
        <f>IF(OR(C127=5,C128=5),0,1)</f>
        <v>1</v>
      </c>
      <c r="V128" s="144">
        <f t="shared" si="25"/>
        <v>0</v>
      </c>
      <c r="W128" s="144">
        <f t="shared" si="26"/>
        <v>0</v>
      </c>
      <c r="X128" s="144">
        <f t="shared" si="35"/>
        <v>0</v>
      </c>
      <c r="Y128" s="144">
        <f t="shared" si="27"/>
        <v>31.779800000000002</v>
      </c>
      <c r="Z128" s="169">
        <f t="shared" si="19"/>
        <v>0</v>
      </c>
      <c r="AA128" s="274">
        <f t="shared" si="20"/>
        <v>0</v>
      </c>
      <c r="AB128" s="169">
        <f t="shared" si="28"/>
        <v>0</v>
      </c>
      <c r="AC128" s="274">
        <f t="shared" si="21"/>
        <v>0</v>
      </c>
      <c r="AD128" s="169">
        <f t="shared" si="22"/>
        <v>0</v>
      </c>
      <c r="AE128" s="274">
        <f t="shared" si="23"/>
        <v>0</v>
      </c>
      <c r="AF128" s="169">
        <f t="shared" si="29"/>
        <v>0</v>
      </c>
      <c r="AG128" s="274">
        <f t="shared" si="24"/>
        <v>0</v>
      </c>
      <c r="AH128" s="169">
        <f t="shared" si="30"/>
        <v>0</v>
      </c>
      <c r="AI128" s="169"/>
      <c r="AJ128" s="169">
        <f t="shared" si="31"/>
        <v>0</v>
      </c>
      <c r="AK128" s="169">
        <f t="shared" si="32"/>
        <v>0</v>
      </c>
      <c r="AL128" s="169"/>
      <c r="AM128" s="169">
        <f>AK127*W127+AK128*W128</f>
        <v>0</v>
      </c>
      <c r="AN128" s="169">
        <f>(SUM(AD127:AG127)*W127+SUM(AD128:AG128)*W128)*12*VLOOKUP(C128,JNovergang,3,1)</f>
        <v>0</v>
      </c>
      <c r="AO128" s="169">
        <f>AM128-AN128</f>
        <v>0</v>
      </c>
      <c r="AP128" s="169">
        <f>M128*(100+X128)%</f>
        <v>0</v>
      </c>
      <c r="AQ128" s="274">
        <f>ROUND(M128*F128,2)</f>
        <v>0</v>
      </c>
      <c r="AS128" s="274">
        <f>ROUND((AP128+AQ128)+AM128*(N128/12),0)</f>
        <v>0</v>
      </c>
      <c r="AT128" s="274">
        <f>ROUND(AM128*(O128/12),0)</f>
        <v>0</v>
      </c>
      <c r="AU128" s="274">
        <f>ROUND(AM128*(P128/12)*U128,0)</f>
        <v>0</v>
      </c>
      <c r="AW128" s="144">
        <f t="shared" si="33"/>
        <v>0</v>
      </c>
    </row>
    <row r="129" spans="1:49">
      <c r="A129" s="173"/>
      <c r="B129" s="174"/>
      <c r="C129" s="174"/>
      <c r="D129" s="165" t="str">
        <f t="shared" si="34"/>
        <v xml:space="preserve"> </v>
      </c>
      <c r="E129" s="177"/>
      <c r="F129" s="287">
        <v>0</v>
      </c>
      <c r="G129" s="177">
        <v>37</v>
      </c>
      <c r="H129" s="177">
        <v>37</v>
      </c>
      <c r="I129" s="177"/>
      <c r="J129" s="179"/>
      <c r="K129" s="177"/>
      <c r="L129" s="179"/>
      <c r="M129" s="166"/>
      <c r="N129" s="166"/>
      <c r="O129" s="166"/>
      <c r="P129" s="166"/>
      <c r="Q129" s="167"/>
      <c r="R129" s="167"/>
      <c r="S129" s="168"/>
      <c r="V129" s="144">
        <f t="shared" si="25"/>
        <v>0</v>
      </c>
      <c r="W129" s="144">
        <f t="shared" si="26"/>
        <v>0</v>
      </c>
      <c r="X129" s="144">
        <f t="shared" si="35"/>
        <v>0</v>
      </c>
      <c r="Y129" s="144">
        <f t="shared" si="27"/>
        <v>31.779800000000002</v>
      </c>
      <c r="Z129" s="169">
        <f t="shared" si="19"/>
        <v>0</v>
      </c>
      <c r="AA129" s="274">
        <f t="shared" si="20"/>
        <v>0</v>
      </c>
      <c r="AB129" s="169">
        <f t="shared" si="28"/>
        <v>0</v>
      </c>
      <c r="AC129" s="274">
        <f t="shared" si="21"/>
        <v>0</v>
      </c>
      <c r="AD129" s="169">
        <f t="shared" si="22"/>
        <v>0</v>
      </c>
      <c r="AE129" s="274">
        <f t="shared" si="23"/>
        <v>0</v>
      </c>
      <c r="AF129" s="169">
        <f t="shared" si="29"/>
        <v>0</v>
      </c>
      <c r="AG129" s="274">
        <f t="shared" si="24"/>
        <v>0</v>
      </c>
      <c r="AH129" s="169">
        <f t="shared" si="30"/>
        <v>0</v>
      </c>
      <c r="AI129" s="169"/>
      <c r="AJ129" s="169">
        <f t="shared" si="31"/>
        <v>0</v>
      </c>
      <c r="AK129" s="169">
        <f t="shared" si="32"/>
        <v>0</v>
      </c>
      <c r="AL129" s="169"/>
      <c r="AM129" s="169"/>
      <c r="AN129" s="169"/>
      <c r="AQ129" s="169"/>
      <c r="AW129" s="144">
        <f t="shared" si="33"/>
        <v>0</v>
      </c>
    </row>
    <row r="130" spans="1:49" ht="9.75" thickBot="1">
      <c r="A130" s="175"/>
      <c r="B130" s="176"/>
      <c r="C130" s="176"/>
      <c r="D130" s="170" t="str">
        <f t="shared" si="34"/>
        <v xml:space="preserve"> </v>
      </c>
      <c r="E130" s="178"/>
      <c r="F130" s="288">
        <v>0</v>
      </c>
      <c r="G130" s="178">
        <v>37</v>
      </c>
      <c r="H130" s="178">
        <v>37</v>
      </c>
      <c r="I130" s="178"/>
      <c r="J130" s="180"/>
      <c r="K130" s="178"/>
      <c r="L130" s="180"/>
      <c r="M130" s="180"/>
      <c r="N130" s="178"/>
      <c r="O130" s="178"/>
      <c r="P130" s="178"/>
      <c r="Q130" s="171">
        <f>AS130</f>
        <v>0</v>
      </c>
      <c r="R130" s="171">
        <f>AT130</f>
        <v>0</v>
      </c>
      <c r="S130" s="172">
        <f>AU130</f>
        <v>0</v>
      </c>
      <c r="U130" s="144">
        <f>IF(OR(C129=5,C130=5),0,1)</f>
        <v>1</v>
      </c>
      <c r="V130" s="144">
        <f t="shared" si="25"/>
        <v>0</v>
      </c>
      <c r="W130" s="144">
        <f t="shared" si="26"/>
        <v>0</v>
      </c>
      <c r="X130" s="144">
        <f t="shared" si="35"/>
        <v>0</v>
      </c>
      <c r="Y130" s="144">
        <f t="shared" si="27"/>
        <v>31.779800000000002</v>
      </c>
      <c r="Z130" s="169">
        <f t="shared" si="19"/>
        <v>0</v>
      </c>
      <c r="AA130" s="274">
        <f t="shared" si="20"/>
        <v>0</v>
      </c>
      <c r="AB130" s="169">
        <f t="shared" si="28"/>
        <v>0</v>
      </c>
      <c r="AC130" s="274">
        <f t="shared" si="21"/>
        <v>0</v>
      </c>
      <c r="AD130" s="169">
        <f t="shared" si="22"/>
        <v>0</v>
      </c>
      <c r="AE130" s="274">
        <f t="shared" si="23"/>
        <v>0</v>
      </c>
      <c r="AF130" s="169">
        <f t="shared" si="29"/>
        <v>0</v>
      </c>
      <c r="AG130" s="274">
        <f t="shared" si="24"/>
        <v>0</v>
      </c>
      <c r="AH130" s="169">
        <f t="shared" si="30"/>
        <v>0</v>
      </c>
      <c r="AI130" s="169"/>
      <c r="AJ130" s="169">
        <f t="shared" si="31"/>
        <v>0</v>
      </c>
      <c r="AK130" s="169">
        <f t="shared" si="32"/>
        <v>0</v>
      </c>
      <c r="AL130" s="169"/>
      <c r="AM130" s="169">
        <f>AK129*W129+AK130*W130</f>
        <v>0</v>
      </c>
      <c r="AN130" s="169">
        <f>(SUM(AD129:AG129)*W129+SUM(AD130:AG130)*W130)*12*VLOOKUP(C130,JNovergang,3,1)</f>
        <v>0</v>
      </c>
      <c r="AO130" s="169">
        <f>AM130-AN130</f>
        <v>0</v>
      </c>
      <c r="AP130" s="169">
        <f>M130*(100+X130)%</f>
        <v>0</v>
      </c>
      <c r="AQ130" s="274">
        <f>ROUND(M130*F130,2)</f>
        <v>0</v>
      </c>
      <c r="AS130" s="274">
        <f>ROUND((AP130+AQ130)+AM130*(N130/12),0)</f>
        <v>0</v>
      </c>
      <c r="AT130" s="274">
        <f>ROUND(AM130*(O130/12),0)</f>
        <v>0</v>
      </c>
      <c r="AU130" s="274">
        <f>ROUND(AM130*(P130/12)*U130,0)</f>
        <v>0</v>
      </c>
      <c r="AW130" s="144">
        <f t="shared" si="33"/>
        <v>0</v>
      </c>
    </row>
    <row r="131" spans="1:49">
      <c r="A131" s="173"/>
      <c r="B131" s="174"/>
      <c r="C131" s="174"/>
      <c r="D131" s="165" t="str">
        <f t="shared" si="34"/>
        <v xml:space="preserve"> </v>
      </c>
      <c r="E131" s="177"/>
      <c r="F131" s="287">
        <v>0</v>
      </c>
      <c r="G131" s="177">
        <v>37</v>
      </c>
      <c r="H131" s="177">
        <v>37</v>
      </c>
      <c r="I131" s="177"/>
      <c r="J131" s="179"/>
      <c r="K131" s="177"/>
      <c r="L131" s="179"/>
      <c r="M131" s="166"/>
      <c r="N131" s="166"/>
      <c r="O131" s="166"/>
      <c r="P131" s="166"/>
      <c r="Q131" s="167"/>
      <c r="R131" s="167"/>
      <c r="S131" s="168"/>
      <c r="V131" s="144">
        <f t="shared" si="25"/>
        <v>0</v>
      </c>
      <c r="W131" s="144">
        <f t="shared" si="26"/>
        <v>0</v>
      </c>
      <c r="X131" s="144">
        <f t="shared" si="35"/>
        <v>0</v>
      </c>
      <c r="Y131" s="144">
        <f t="shared" si="27"/>
        <v>31.779800000000002</v>
      </c>
      <c r="Z131" s="169">
        <f t="shared" si="19"/>
        <v>0</v>
      </c>
      <c r="AA131" s="274">
        <f t="shared" si="20"/>
        <v>0</v>
      </c>
      <c r="AB131" s="169">
        <f t="shared" si="28"/>
        <v>0</v>
      </c>
      <c r="AC131" s="274">
        <f t="shared" si="21"/>
        <v>0</v>
      </c>
      <c r="AD131" s="169">
        <f t="shared" si="22"/>
        <v>0</v>
      </c>
      <c r="AE131" s="274">
        <f t="shared" si="23"/>
        <v>0</v>
      </c>
      <c r="AF131" s="169">
        <f t="shared" si="29"/>
        <v>0</v>
      </c>
      <c r="AG131" s="274">
        <f t="shared" si="24"/>
        <v>0</v>
      </c>
      <c r="AH131" s="169">
        <f t="shared" si="30"/>
        <v>0</v>
      </c>
      <c r="AI131" s="169"/>
      <c r="AJ131" s="169">
        <f t="shared" si="31"/>
        <v>0</v>
      </c>
      <c r="AK131" s="169">
        <f t="shared" si="32"/>
        <v>0</v>
      </c>
      <c r="AL131" s="169"/>
      <c r="AM131" s="169"/>
      <c r="AN131" s="169"/>
      <c r="AQ131" s="169"/>
      <c r="AW131" s="144">
        <f t="shared" si="33"/>
        <v>0</v>
      </c>
    </row>
    <row r="132" spans="1:49" ht="9.75" thickBot="1">
      <c r="A132" s="175"/>
      <c r="B132" s="176"/>
      <c r="C132" s="176"/>
      <c r="D132" s="170" t="str">
        <f t="shared" si="34"/>
        <v xml:space="preserve"> </v>
      </c>
      <c r="E132" s="178"/>
      <c r="F132" s="288">
        <v>0</v>
      </c>
      <c r="G132" s="178">
        <v>37</v>
      </c>
      <c r="H132" s="178">
        <v>37</v>
      </c>
      <c r="I132" s="178"/>
      <c r="J132" s="180"/>
      <c r="K132" s="178"/>
      <c r="L132" s="180"/>
      <c r="M132" s="180"/>
      <c r="N132" s="178"/>
      <c r="O132" s="178"/>
      <c r="P132" s="178"/>
      <c r="Q132" s="171">
        <f>AS132</f>
        <v>0</v>
      </c>
      <c r="R132" s="171">
        <f>AT132</f>
        <v>0</v>
      </c>
      <c r="S132" s="172">
        <f>AU132</f>
        <v>0</v>
      </c>
      <c r="U132" s="144">
        <f>IF(OR(C131=5,C132=5),0,1)</f>
        <v>1</v>
      </c>
      <c r="V132" s="144">
        <f t="shared" si="25"/>
        <v>0</v>
      </c>
      <c r="W132" s="144">
        <f t="shared" si="26"/>
        <v>0</v>
      </c>
      <c r="X132" s="144">
        <f t="shared" si="35"/>
        <v>0</v>
      </c>
      <c r="Y132" s="144">
        <f t="shared" si="27"/>
        <v>31.779800000000002</v>
      </c>
      <c r="Z132" s="169">
        <f t="shared" si="19"/>
        <v>0</v>
      </c>
      <c r="AA132" s="274">
        <f t="shared" si="20"/>
        <v>0</v>
      </c>
      <c r="AB132" s="169">
        <f t="shared" si="28"/>
        <v>0</v>
      </c>
      <c r="AC132" s="274">
        <f t="shared" si="21"/>
        <v>0</v>
      </c>
      <c r="AD132" s="169">
        <f t="shared" si="22"/>
        <v>0</v>
      </c>
      <c r="AE132" s="274">
        <f t="shared" si="23"/>
        <v>0</v>
      </c>
      <c r="AF132" s="169">
        <f t="shared" si="29"/>
        <v>0</v>
      </c>
      <c r="AG132" s="274">
        <f t="shared" si="24"/>
        <v>0</v>
      </c>
      <c r="AH132" s="169">
        <f t="shared" si="30"/>
        <v>0</v>
      </c>
      <c r="AI132" s="169"/>
      <c r="AJ132" s="169">
        <f t="shared" si="31"/>
        <v>0</v>
      </c>
      <c r="AK132" s="169">
        <f t="shared" si="32"/>
        <v>0</v>
      </c>
      <c r="AL132" s="169"/>
      <c r="AM132" s="169">
        <f>AK131*W131+AK132*W132</f>
        <v>0</v>
      </c>
      <c r="AN132" s="169">
        <f>(SUM(AD131:AG131)*W131+SUM(AD132:AG132)*W132)*12*VLOOKUP(C132,JNovergang,3,1)</f>
        <v>0</v>
      </c>
      <c r="AO132" s="169">
        <f>AM132-AN132</f>
        <v>0</v>
      </c>
      <c r="AP132" s="169">
        <f>M132*(100+X132)%</f>
        <v>0</v>
      </c>
      <c r="AQ132" s="274">
        <f>ROUND(M132*F132,2)</f>
        <v>0</v>
      </c>
      <c r="AS132" s="274">
        <f>ROUND((AP132+AQ132)+AM132*(N132/12),0)</f>
        <v>0</v>
      </c>
      <c r="AT132" s="274">
        <f>ROUND(AM132*(O132/12),0)</f>
        <v>0</v>
      </c>
      <c r="AU132" s="274">
        <f>ROUND(AM132*(P132/12)*U132,0)</f>
        <v>0</v>
      </c>
      <c r="AW132" s="144">
        <f t="shared" si="33"/>
        <v>0</v>
      </c>
    </row>
    <row r="133" spans="1:49">
      <c r="A133" s="173"/>
      <c r="B133" s="174"/>
      <c r="C133" s="174"/>
      <c r="D133" s="165" t="str">
        <f t="shared" si="34"/>
        <v xml:space="preserve"> </v>
      </c>
      <c r="E133" s="177"/>
      <c r="F133" s="287">
        <v>0</v>
      </c>
      <c r="G133" s="177">
        <v>37</v>
      </c>
      <c r="H133" s="177">
        <v>37</v>
      </c>
      <c r="I133" s="177"/>
      <c r="J133" s="179"/>
      <c r="K133" s="177"/>
      <c r="L133" s="179"/>
      <c r="M133" s="166"/>
      <c r="N133" s="166"/>
      <c r="O133" s="166"/>
      <c r="P133" s="166"/>
      <c r="Q133" s="167"/>
      <c r="R133" s="167"/>
      <c r="S133" s="168"/>
      <c r="V133" s="144">
        <f t="shared" si="25"/>
        <v>0</v>
      </c>
      <c r="W133" s="144">
        <f t="shared" si="26"/>
        <v>0</v>
      </c>
      <c r="X133" s="144">
        <f t="shared" si="35"/>
        <v>0</v>
      </c>
      <c r="Y133" s="144">
        <f t="shared" si="27"/>
        <v>31.779800000000002</v>
      </c>
      <c r="Z133" s="169">
        <f t="shared" si="19"/>
        <v>0</v>
      </c>
      <c r="AA133" s="274">
        <f t="shared" si="20"/>
        <v>0</v>
      </c>
      <c r="AB133" s="169">
        <f t="shared" si="28"/>
        <v>0</v>
      </c>
      <c r="AC133" s="274">
        <f t="shared" si="21"/>
        <v>0</v>
      </c>
      <c r="AD133" s="169">
        <f t="shared" si="22"/>
        <v>0</v>
      </c>
      <c r="AE133" s="274">
        <f t="shared" si="23"/>
        <v>0</v>
      </c>
      <c r="AF133" s="169">
        <f t="shared" si="29"/>
        <v>0</v>
      </c>
      <c r="AG133" s="274">
        <f t="shared" si="24"/>
        <v>0</v>
      </c>
      <c r="AH133" s="169">
        <f t="shared" si="30"/>
        <v>0</v>
      </c>
      <c r="AI133" s="169"/>
      <c r="AJ133" s="169">
        <f t="shared" si="31"/>
        <v>0</v>
      </c>
      <c r="AK133" s="169">
        <f t="shared" si="32"/>
        <v>0</v>
      </c>
      <c r="AL133" s="169"/>
      <c r="AM133" s="169"/>
      <c r="AN133" s="169"/>
      <c r="AQ133" s="169"/>
      <c r="AW133" s="144">
        <f t="shared" si="33"/>
        <v>0</v>
      </c>
    </row>
    <row r="134" spans="1:49" ht="9.75" thickBot="1">
      <c r="A134" s="175"/>
      <c r="B134" s="176"/>
      <c r="C134" s="176"/>
      <c r="D134" s="170" t="str">
        <f t="shared" si="34"/>
        <v xml:space="preserve"> </v>
      </c>
      <c r="E134" s="178"/>
      <c r="F134" s="288">
        <v>0</v>
      </c>
      <c r="G134" s="178">
        <v>37</v>
      </c>
      <c r="H134" s="178">
        <v>37</v>
      </c>
      <c r="I134" s="178"/>
      <c r="J134" s="180"/>
      <c r="K134" s="178"/>
      <c r="L134" s="180"/>
      <c r="M134" s="180"/>
      <c r="N134" s="178"/>
      <c r="O134" s="178"/>
      <c r="P134" s="178"/>
      <c r="Q134" s="171">
        <f>AS134</f>
        <v>0</v>
      </c>
      <c r="R134" s="171">
        <f>AT134</f>
        <v>0</v>
      </c>
      <c r="S134" s="172">
        <f>AU134</f>
        <v>0</v>
      </c>
      <c r="U134" s="144">
        <f>IF(OR(C133=5,C134=5),0,1)</f>
        <v>1</v>
      </c>
      <c r="V134" s="144">
        <f t="shared" si="25"/>
        <v>0</v>
      </c>
      <c r="W134" s="144">
        <f t="shared" si="26"/>
        <v>0</v>
      </c>
      <c r="X134" s="144">
        <f t="shared" si="35"/>
        <v>0</v>
      </c>
      <c r="Y134" s="144">
        <f t="shared" si="27"/>
        <v>31.779800000000002</v>
      </c>
      <c r="Z134" s="169">
        <f t="shared" si="19"/>
        <v>0</v>
      </c>
      <c r="AA134" s="274">
        <f t="shared" si="20"/>
        <v>0</v>
      </c>
      <c r="AB134" s="169">
        <f t="shared" si="28"/>
        <v>0</v>
      </c>
      <c r="AC134" s="274">
        <f t="shared" si="21"/>
        <v>0</v>
      </c>
      <c r="AD134" s="169">
        <f t="shared" si="22"/>
        <v>0</v>
      </c>
      <c r="AE134" s="274">
        <f t="shared" si="23"/>
        <v>0</v>
      </c>
      <c r="AF134" s="169">
        <f t="shared" si="29"/>
        <v>0</v>
      </c>
      <c r="AG134" s="274">
        <f t="shared" si="24"/>
        <v>0</v>
      </c>
      <c r="AH134" s="169">
        <f t="shared" si="30"/>
        <v>0</v>
      </c>
      <c r="AI134" s="169"/>
      <c r="AJ134" s="169">
        <f t="shared" si="31"/>
        <v>0</v>
      </c>
      <c r="AK134" s="169">
        <f t="shared" si="32"/>
        <v>0</v>
      </c>
      <c r="AL134" s="169"/>
      <c r="AM134" s="169">
        <f>AK133*W133+AK134*W134</f>
        <v>0</v>
      </c>
      <c r="AN134" s="169">
        <f>(SUM(AD133:AG133)*W133+SUM(AD134:AG134)*W134)*12*VLOOKUP(C134,JNovergang,3,1)</f>
        <v>0</v>
      </c>
      <c r="AO134" s="169">
        <f>AM134-AN134</f>
        <v>0</v>
      </c>
      <c r="AP134" s="169">
        <f>M134*(100+X134)%</f>
        <v>0</v>
      </c>
      <c r="AQ134" s="274">
        <f>ROUND(M134*F134,2)</f>
        <v>0</v>
      </c>
      <c r="AS134" s="274">
        <f>ROUND((AP134+AQ134)+AM134*(N134/12),0)</f>
        <v>0</v>
      </c>
      <c r="AT134" s="274">
        <f>ROUND(AM134*(O134/12),0)</f>
        <v>0</v>
      </c>
      <c r="AU134" s="274">
        <f>ROUND(AM134*(P134/12)*U134,0)</f>
        <v>0</v>
      </c>
      <c r="AW134" s="144">
        <f t="shared" si="33"/>
        <v>0</v>
      </c>
    </row>
    <row r="135" spans="1:49">
      <c r="A135" s="173"/>
      <c r="B135" s="174"/>
      <c r="C135" s="174"/>
      <c r="D135" s="165" t="str">
        <f t="shared" si="34"/>
        <v xml:space="preserve"> </v>
      </c>
      <c r="E135" s="177"/>
      <c r="F135" s="287">
        <v>0</v>
      </c>
      <c r="G135" s="177">
        <v>37</v>
      </c>
      <c r="H135" s="177">
        <v>37</v>
      </c>
      <c r="I135" s="177"/>
      <c r="J135" s="179"/>
      <c r="K135" s="177"/>
      <c r="L135" s="179"/>
      <c r="M135" s="166"/>
      <c r="N135" s="166"/>
      <c r="O135" s="166"/>
      <c r="P135" s="166"/>
      <c r="Q135" s="167"/>
      <c r="R135" s="167"/>
      <c r="S135" s="168"/>
      <c r="V135" s="144">
        <f t="shared" si="25"/>
        <v>0</v>
      </c>
      <c r="W135" s="144">
        <f t="shared" si="26"/>
        <v>0</v>
      </c>
      <c r="X135" s="144">
        <f t="shared" si="35"/>
        <v>0</v>
      </c>
      <c r="Y135" s="144">
        <f t="shared" si="27"/>
        <v>31.779800000000002</v>
      </c>
      <c r="Z135" s="169">
        <f t="shared" si="19"/>
        <v>0</v>
      </c>
      <c r="AA135" s="274">
        <f t="shared" si="20"/>
        <v>0</v>
      </c>
      <c r="AB135" s="169">
        <f t="shared" si="28"/>
        <v>0</v>
      </c>
      <c r="AC135" s="274">
        <f t="shared" si="21"/>
        <v>0</v>
      </c>
      <c r="AD135" s="169">
        <f t="shared" si="22"/>
        <v>0</v>
      </c>
      <c r="AE135" s="274">
        <f t="shared" si="23"/>
        <v>0</v>
      </c>
      <c r="AF135" s="169">
        <f t="shared" si="29"/>
        <v>0</v>
      </c>
      <c r="AG135" s="274">
        <f t="shared" si="24"/>
        <v>0</v>
      </c>
      <c r="AH135" s="169">
        <f t="shared" si="30"/>
        <v>0</v>
      </c>
      <c r="AI135" s="169"/>
      <c r="AJ135" s="169">
        <f t="shared" si="31"/>
        <v>0</v>
      </c>
      <c r="AK135" s="169">
        <f t="shared" si="32"/>
        <v>0</v>
      </c>
      <c r="AL135" s="169"/>
      <c r="AM135" s="169"/>
      <c r="AN135" s="169"/>
      <c r="AQ135" s="169"/>
      <c r="AW135" s="144">
        <f t="shared" si="33"/>
        <v>0</v>
      </c>
    </row>
    <row r="136" spans="1:49" ht="9.75" thickBot="1">
      <c r="A136" s="175"/>
      <c r="B136" s="176"/>
      <c r="C136" s="176"/>
      <c r="D136" s="170" t="str">
        <f t="shared" si="34"/>
        <v xml:space="preserve"> </v>
      </c>
      <c r="E136" s="178"/>
      <c r="F136" s="288">
        <v>0</v>
      </c>
      <c r="G136" s="178">
        <v>37</v>
      </c>
      <c r="H136" s="178">
        <v>37</v>
      </c>
      <c r="I136" s="178"/>
      <c r="J136" s="180"/>
      <c r="K136" s="178"/>
      <c r="L136" s="180"/>
      <c r="M136" s="180"/>
      <c r="N136" s="178"/>
      <c r="O136" s="178"/>
      <c r="P136" s="178"/>
      <c r="Q136" s="171">
        <f>AS136</f>
        <v>0</v>
      </c>
      <c r="R136" s="171">
        <f>AT136</f>
        <v>0</v>
      </c>
      <c r="S136" s="172">
        <f>AU136</f>
        <v>0</v>
      </c>
      <c r="U136" s="144">
        <f>IF(OR(C135=5,C136=5),0,1)</f>
        <v>1</v>
      </c>
      <c r="V136" s="144">
        <f t="shared" si="25"/>
        <v>0</v>
      </c>
      <c r="W136" s="144">
        <f t="shared" si="26"/>
        <v>0</v>
      </c>
      <c r="X136" s="144">
        <f t="shared" si="35"/>
        <v>0</v>
      </c>
      <c r="Y136" s="144">
        <f t="shared" si="27"/>
        <v>31.779800000000002</v>
      </c>
      <c r="Z136" s="169">
        <f t="shared" si="19"/>
        <v>0</v>
      </c>
      <c r="AA136" s="274">
        <f t="shared" si="20"/>
        <v>0</v>
      </c>
      <c r="AB136" s="169">
        <f t="shared" si="28"/>
        <v>0</v>
      </c>
      <c r="AC136" s="274">
        <f t="shared" si="21"/>
        <v>0</v>
      </c>
      <c r="AD136" s="169">
        <f t="shared" si="22"/>
        <v>0</v>
      </c>
      <c r="AE136" s="274">
        <f t="shared" si="23"/>
        <v>0</v>
      </c>
      <c r="AF136" s="169">
        <f t="shared" si="29"/>
        <v>0</v>
      </c>
      <c r="AG136" s="274">
        <f t="shared" si="24"/>
        <v>0</v>
      </c>
      <c r="AH136" s="169">
        <f t="shared" si="30"/>
        <v>0</v>
      </c>
      <c r="AI136" s="169"/>
      <c r="AJ136" s="169">
        <f t="shared" si="31"/>
        <v>0</v>
      </c>
      <c r="AK136" s="169">
        <f t="shared" si="32"/>
        <v>0</v>
      </c>
      <c r="AL136" s="169"/>
      <c r="AM136" s="169">
        <f>AK135*W135+AK136*W136</f>
        <v>0</v>
      </c>
      <c r="AN136" s="169">
        <f>(SUM(AD135:AG135)*W135+SUM(AD136:AG136)*W136)*12*VLOOKUP(C136,JNovergang,3,1)</f>
        <v>0</v>
      </c>
      <c r="AO136" s="169">
        <f>AM136-AN136</f>
        <v>0</v>
      </c>
      <c r="AP136" s="169">
        <f>M136*(100+X136)%</f>
        <v>0</v>
      </c>
      <c r="AQ136" s="274">
        <f>ROUND(M136*F136,2)</f>
        <v>0</v>
      </c>
      <c r="AS136" s="274">
        <f>ROUND((AP136+AQ136)+AM136*(N136/12),0)</f>
        <v>0</v>
      </c>
      <c r="AT136" s="274">
        <f>ROUND(AM136*(O136/12),0)</f>
        <v>0</v>
      </c>
      <c r="AU136" s="274">
        <f>ROUND(AM136*(P136/12)*U136,0)</f>
        <v>0</v>
      </c>
      <c r="AW136" s="144">
        <f t="shared" si="33"/>
        <v>0</v>
      </c>
    </row>
    <row r="137" spans="1:49">
      <c r="A137" s="173"/>
      <c r="B137" s="174"/>
      <c r="C137" s="174"/>
      <c r="D137" s="165" t="str">
        <f t="shared" si="34"/>
        <v xml:space="preserve"> </v>
      </c>
      <c r="E137" s="177"/>
      <c r="F137" s="287">
        <v>0</v>
      </c>
      <c r="G137" s="177">
        <v>37</v>
      </c>
      <c r="H137" s="177">
        <v>37</v>
      </c>
      <c r="I137" s="177"/>
      <c r="J137" s="179"/>
      <c r="K137" s="177"/>
      <c r="L137" s="179"/>
      <c r="M137" s="166"/>
      <c r="N137" s="166"/>
      <c r="O137" s="166"/>
      <c r="P137" s="166"/>
      <c r="Q137" s="167"/>
      <c r="R137" s="167"/>
      <c r="S137" s="168"/>
      <c r="V137" s="144">
        <f t="shared" si="25"/>
        <v>0</v>
      </c>
      <c r="W137" s="144">
        <f t="shared" si="26"/>
        <v>0</v>
      </c>
      <c r="X137" s="144">
        <f t="shared" si="35"/>
        <v>0</v>
      </c>
      <c r="Y137" s="144">
        <f t="shared" si="27"/>
        <v>31.779800000000002</v>
      </c>
      <c r="Z137" s="169">
        <f t="shared" si="19"/>
        <v>0</v>
      </c>
      <c r="AA137" s="274">
        <f t="shared" si="20"/>
        <v>0</v>
      </c>
      <c r="AB137" s="169">
        <f t="shared" si="28"/>
        <v>0</v>
      </c>
      <c r="AC137" s="274">
        <f t="shared" si="21"/>
        <v>0</v>
      </c>
      <c r="AD137" s="169">
        <f t="shared" si="22"/>
        <v>0</v>
      </c>
      <c r="AE137" s="274">
        <f t="shared" si="23"/>
        <v>0</v>
      </c>
      <c r="AF137" s="169">
        <f t="shared" si="29"/>
        <v>0</v>
      </c>
      <c r="AG137" s="274">
        <f t="shared" si="24"/>
        <v>0</v>
      </c>
      <c r="AH137" s="169">
        <f t="shared" si="30"/>
        <v>0</v>
      </c>
      <c r="AI137" s="169"/>
      <c r="AJ137" s="169">
        <f t="shared" si="31"/>
        <v>0</v>
      </c>
      <c r="AK137" s="169">
        <f t="shared" si="32"/>
        <v>0</v>
      </c>
      <c r="AL137" s="169"/>
      <c r="AM137" s="169"/>
      <c r="AN137" s="169"/>
      <c r="AQ137" s="169"/>
      <c r="AW137" s="144">
        <f t="shared" si="33"/>
        <v>0</v>
      </c>
    </row>
    <row r="138" spans="1:49" ht="9.75" thickBot="1">
      <c r="A138" s="175"/>
      <c r="B138" s="176"/>
      <c r="C138" s="176"/>
      <c r="D138" s="170" t="str">
        <f t="shared" si="34"/>
        <v xml:space="preserve"> </v>
      </c>
      <c r="E138" s="178"/>
      <c r="F138" s="288">
        <v>0</v>
      </c>
      <c r="G138" s="178">
        <v>37</v>
      </c>
      <c r="H138" s="178">
        <v>37</v>
      </c>
      <c r="I138" s="178"/>
      <c r="J138" s="180"/>
      <c r="K138" s="178"/>
      <c r="L138" s="180"/>
      <c r="M138" s="180"/>
      <c r="N138" s="178"/>
      <c r="O138" s="178"/>
      <c r="P138" s="178"/>
      <c r="Q138" s="171">
        <f>AS138</f>
        <v>0</v>
      </c>
      <c r="R138" s="171">
        <f>AT138</f>
        <v>0</v>
      </c>
      <c r="S138" s="172">
        <f>AU138</f>
        <v>0</v>
      </c>
      <c r="U138" s="144">
        <f>IF(OR(C137=5,C138=5),0,1)</f>
        <v>1</v>
      </c>
      <c r="V138" s="144">
        <f t="shared" si="25"/>
        <v>0</v>
      </c>
      <c r="W138" s="144">
        <f t="shared" si="26"/>
        <v>0</v>
      </c>
      <c r="X138" s="144">
        <f t="shared" si="35"/>
        <v>0</v>
      </c>
      <c r="Y138" s="144">
        <f t="shared" si="27"/>
        <v>31.779800000000002</v>
      </c>
      <c r="Z138" s="169">
        <f t="shared" si="19"/>
        <v>0</v>
      </c>
      <c r="AA138" s="274">
        <f t="shared" si="20"/>
        <v>0</v>
      </c>
      <c r="AB138" s="169">
        <f t="shared" si="28"/>
        <v>0</v>
      </c>
      <c r="AC138" s="274">
        <f t="shared" si="21"/>
        <v>0</v>
      </c>
      <c r="AD138" s="169">
        <f t="shared" si="22"/>
        <v>0</v>
      </c>
      <c r="AE138" s="274">
        <f t="shared" si="23"/>
        <v>0</v>
      </c>
      <c r="AF138" s="169">
        <f t="shared" si="29"/>
        <v>0</v>
      </c>
      <c r="AG138" s="274">
        <f t="shared" si="24"/>
        <v>0</v>
      </c>
      <c r="AH138" s="169">
        <f t="shared" si="30"/>
        <v>0</v>
      </c>
      <c r="AI138" s="169"/>
      <c r="AJ138" s="169">
        <f t="shared" si="31"/>
        <v>0</v>
      </c>
      <c r="AK138" s="169">
        <f t="shared" si="32"/>
        <v>0</v>
      </c>
      <c r="AL138" s="169"/>
      <c r="AM138" s="169">
        <f>AK137*W137+AK138*W138</f>
        <v>0</v>
      </c>
      <c r="AN138" s="169">
        <f>(SUM(AD137:AG137)*W137+SUM(AD138:AG138)*W138)*12*VLOOKUP(C138,JNovergang,3,1)</f>
        <v>0</v>
      </c>
      <c r="AO138" s="169">
        <f>AM138-AN138</f>
        <v>0</v>
      </c>
      <c r="AP138" s="169">
        <f>M138*(100+X138)%</f>
        <v>0</v>
      </c>
      <c r="AQ138" s="274">
        <f>ROUND(M138*F138,2)</f>
        <v>0</v>
      </c>
      <c r="AS138" s="274">
        <f>ROUND((AP138+AQ138)+AM138*(N138/12),0)</f>
        <v>0</v>
      </c>
      <c r="AT138" s="274">
        <f>ROUND(AM138*(O138/12),0)</f>
        <v>0</v>
      </c>
      <c r="AU138" s="274">
        <f>ROUND(AM138*(P138/12)*U138,0)</f>
        <v>0</v>
      </c>
      <c r="AW138" s="144">
        <f t="shared" si="33"/>
        <v>0</v>
      </c>
    </row>
    <row r="139" spans="1:49">
      <c r="A139" s="173"/>
      <c r="B139" s="174"/>
      <c r="C139" s="174"/>
      <c r="D139" s="165" t="str">
        <f t="shared" si="34"/>
        <v xml:space="preserve"> </v>
      </c>
      <c r="E139" s="177"/>
      <c r="F139" s="287">
        <v>0</v>
      </c>
      <c r="G139" s="177">
        <v>37</v>
      </c>
      <c r="H139" s="177">
        <v>37</v>
      </c>
      <c r="I139" s="177"/>
      <c r="J139" s="179"/>
      <c r="K139" s="177"/>
      <c r="L139" s="179"/>
      <c r="M139" s="166"/>
      <c r="N139" s="166"/>
      <c r="O139" s="166"/>
      <c r="P139" s="166"/>
      <c r="Q139" s="167"/>
      <c r="R139" s="167"/>
      <c r="S139" s="168"/>
      <c r="V139" s="144">
        <f t="shared" si="25"/>
        <v>0</v>
      </c>
      <c r="W139" s="144">
        <f t="shared" si="26"/>
        <v>0</v>
      </c>
      <c r="X139" s="144">
        <f t="shared" si="35"/>
        <v>0</v>
      </c>
      <c r="Y139" s="144">
        <f t="shared" si="27"/>
        <v>31.779800000000002</v>
      </c>
      <c r="Z139" s="169">
        <f t="shared" si="19"/>
        <v>0</v>
      </c>
      <c r="AA139" s="274">
        <f t="shared" si="20"/>
        <v>0</v>
      </c>
      <c r="AB139" s="169">
        <f t="shared" si="28"/>
        <v>0</v>
      </c>
      <c r="AC139" s="274">
        <f t="shared" si="21"/>
        <v>0</v>
      </c>
      <c r="AD139" s="169">
        <f t="shared" si="22"/>
        <v>0</v>
      </c>
      <c r="AE139" s="274">
        <f t="shared" si="23"/>
        <v>0</v>
      </c>
      <c r="AF139" s="169">
        <f t="shared" si="29"/>
        <v>0</v>
      </c>
      <c r="AG139" s="274">
        <f t="shared" si="24"/>
        <v>0</v>
      </c>
      <c r="AH139" s="169">
        <f t="shared" si="30"/>
        <v>0</v>
      </c>
      <c r="AI139" s="169"/>
      <c r="AJ139" s="169">
        <f t="shared" si="31"/>
        <v>0</v>
      </c>
      <c r="AK139" s="169">
        <f t="shared" si="32"/>
        <v>0</v>
      </c>
      <c r="AL139" s="169"/>
      <c r="AM139" s="169"/>
      <c r="AN139" s="169"/>
      <c r="AQ139" s="169"/>
      <c r="AW139" s="144">
        <f t="shared" si="33"/>
        <v>0</v>
      </c>
    </row>
    <row r="140" spans="1:49" ht="9.75" thickBot="1">
      <c r="A140" s="175"/>
      <c r="B140" s="176"/>
      <c r="C140" s="176"/>
      <c r="D140" s="170" t="str">
        <f t="shared" si="34"/>
        <v xml:space="preserve"> </v>
      </c>
      <c r="E140" s="178"/>
      <c r="F140" s="288">
        <v>0</v>
      </c>
      <c r="G140" s="178">
        <v>37</v>
      </c>
      <c r="H140" s="178">
        <v>37</v>
      </c>
      <c r="I140" s="178"/>
      <c r="J140" s="180"/>
      <c r="K140" s="178"/>
      <c r="L140" s="180"/>
      <c r="M140" s="180"/>
      <c r="N140" s="178"/>
      <c r="O140" s="178"/>
      <c r="P140" s="178"/>
      <c r="Q140" s="171">
        <f>AS140</f>
        <v>0</v>
      </c>
      <c r="R140" s="171">
        <f>AT140</f>
        <v>0</v>
      </c>
      <c r="S140" s="172">
        <f>AU140</f>
        <v>0</v>
      </c>
      <c r="U140" s="144">
        <f>IF(OR(C139=5,C140=5),0,1)</f>
        <v>1</v>
      </c>
      <c r="V140" s="144">
        <f t="shared" si="25"/>
        <v>0</v>
      </c>
      <c r="W140" s="144">
        <f t="shared" si="26"/>
        <v>0</v>
      </c>
      <c r="X140" s="144">
        <f t="shared" si="35"/>
        <v>0</v>
      </c>
      <c r="Y140" s="144">
        <f t="shared" si="27"/>
        <v>31.779800000000002</v>
      </c>
      <c r="Z140" s="169">
        <f t="shared" si="19"/>
        <v>0</v>
      </c>
      <c r="AA140" s="274">
        <f t="shared" si="20"/>
        <v>0</v>
      </c>
      <c r="AB140" s="169">
        <f t="shared" si="28"/>
        <v>0</v>
      </c>
      <c r="AC140" s="274">
        <f t="shared" si="21"/>
        <v>0</v>
      </c>
      <c r="AD140" s="169">
        <f t="shared" si="22"/>
        <v>0</v>
      </c>
      <c r="AE140" s="274">
        <f t="shared" si="23"/>
        <v>0</v>
      </c>
      <c r="AF140" s="169">
        <f t="shared" si="29"/>
        <v>0</v>
      </c>
      <c r="AG140" s="274">
        <f t="shared" si="24"/>
        <v>0</v>
      </c>
      <c r="AH140" s="169">
        <f t="shared" si="30"/>
        <v>0</v>
      </c>
      <c r="AI140" s="169"/>
      <c r="AJ140" s="169">
        <f t="shared" si="31"/>
        <v>0</v>
      </c>
      <c r="AK140" s="169">
        <f t="shared" si="32"/>
        <v>0</v>
      </c>
      <c r="AL140" s="169"/>
      <c r="AM140" s="169">
        <f>AK139*W139+AK140*W140</f>
        <v>0</v>
      </c>
      <c r="AN140" s="169">
        <f>(SUM(AD139:AG139)*W139+SUM(AD140:AG140)*W140)*12*VLOOKUP(C140,JNovergang,3,1)</f>
        <v>0</v>
      </c>
      <c r="AO140" s="169">
        <f>AM140-AN140</f>
        <v>0</v>
      </c>
      <c r="AP140" s="169">
        <f>M140*(100+X140)%</f>
        <v>0</v>
      </c>
      <c r="AQ140" s="274">
        <f>ROUND(M140*F140,2)</f>
        <v>0</v>
      </c>
      <c r="AS140" s="274">
        <f>ROUND((AP140+AQ140)+AM140*(N140/12),0)</f>
        <v>0</v>
      </c>
      <c r="AT140" s="274">
        <f>ROUND(AM140*(O140/12),0)</f>
        <v>0</v>
      </c>
      <c r="AU140" s="274">
        <f>ROUND(AM140*(P140/12)*U140,0)</f>
        <v>0</v>
      </c>
      <c r="AW140" s="144">
        <f t="shared" si="33"/>
        <v>0</v>
      </c>
    </row>
    <row r="141" spans="1:49">
      <c r="A141" s="173"/>
      <c r="B141" s="174"/>
      <c r="C141" s="174"/>
      <c r="D141" s="165" t="str">
        <f t="shared" si="34"/>
        <v xml:space="preserve"> </v>
      </c>
      <c r="E141" s="177"/>
      <c r="F141" s="287">
        <v>0</v>
      </c>
      <c r="G141" s="177">
        <v>37</v>
      </c>
      <c r="H141" s="177">
        <v>37</v>
      </c>
      <c r="I141" s="177"/>
      <c r="J141" s="179"/>
      <c r="K141" s="177"/>
      <c r="L141" s="179"/>
      <c r="M141" s="166"/>
      <c r="N141" s="166"/>
      <c r="O141" s="166"/>
      <c r="P141" s="166"/>
      <c r="Q141" s="167"/>
      <c r="R141" s="167"/>
      <c r="S141" s="168"/>
      <c r="V141" s="144">
        <f t="shared" si="25"/>
        <v>0</v>
      </c>
      <c r="W141" s="144">
        <f t="shared" si="26"/>
        <v>0</v>
      </c>
      <c r="X141" s="144">
        <f t="shared" si="35"/>
        <v>0</v>
      </c>
      <c r="Y141" s="144">
        <f t="shared" si="27"/>
        <v>31.779800000000002</v>
      </c>
      <c r="Z141" s="169">
        <f t="shared" si="19"/>
        <v>0</v>
      </c>
      <c r="AA141" s="274">
        <f t="shared" si="20"/>
        <v>0</v>
      </c>
      <c r="AB141" s="169">
        <f t="shared" si="28"/>
        <v>0</v>
      </c>
      <c r="AC141" s="274">
        <f t="shared" si="21"/>
        <v>0</v>
      </c>
      <c r="AD141" s="169">
        <f t="shared" si="22"/>
        <v>0</v>
      </c>
      <c r="AE141" s="274">
        <f t="shared" si="23"/>
        <v>0</v>
      </c>
      <c r="AF141" s="169">
        <f t="shared" si="29"/>
        <v>0</v>
      </c>
      <c r="AG141" s="274">
        <f t="shared" si="24"/>
        <v>0</v>
      </c>
      <c r="AH141" s="169">
        <f t="shared" si="30"/>
        <v>0</v>
      </c>
      <c r="AI141" s="169"/>
      <c r="AJ141" s="169">
        <f t="shared" si="31"/>
        <v>0</v>
      </c>
      <c r="AK141" s="169">
        <f t="shared" si="32"/>
        <v>0</v>
      </c>
      <c r="AL141" s="169"/>
      <c r="AM141" s="169"/>
      <c r="AN141" s="169"/>
      <c r="AQ141" s="169"/>
      <c r="AW141" s="144">
        <f t="shared" si="33"/>
        <v>0</v>
      </c>
    </row>
    <row r="142" spans="1:49" ht="9.75" thickBot="1">
      <c r="A142" s="175"/>
      <c r="B142" s="176"/>
      <c r="C142" s="176"/>
      <c r="D142" s="170" t="str">
        <f t="shared" si="34"/>
        <v xml:space="preserve"> </v>
      </c>
      <c r="E142" s="178"/>
      <c r="F142" s="288">
        <v>0</v>
      </c>
      <c r="G142" s="178">
        <v>37</v>
      </c>
      <c r="H142" s="178">
        <v>37</v>
      </c>
      <c r="I142" s="178"/>
      <c r="J142" s="180"/>
      <c r="K142" s="178"/>
      <c r="L142" s="180"/>
      <c r="M142" s="180"/>
      <c r="N142" s="178"/>
      <c r="O142" s="178"/>
      <c r="P142" s="178"/>
      <c r="Q142" s="171">
        <f>AS142</f>
        <v>0</v>
      </c>
      <c r="R142" s="171">
        <f>AT142</f>
        <v>0</v>
      </c>
      <c r="S142" s="172">
        <f>AU142</f>
        <v>0</v>
      </c>
      <c r="U142" s="144">
        <f>IF(OR(C141=5,C142=5),0,1)</f>
        <v>1</v>
      </c>
      <c r="V142" s="144">
        <f t="shared" si="25"/>
        <v>0</v>
      </c>
      <c r="W142" s="144">
        <f t="shared" si="26"/>
        <v>0</v>
      </c>
      <c r="X142" s="144">
        <f t="shared" si="35"/>
        <v>0</v>
      </c>
      <c r="Y142" s="144">
        <f t="shared" si="27"/>
        <v>31.779800000000002</v>
      </c>
      <c r="Z142" s="169">
        <f t="shared" si="19"/>
        <v>0</v>
      </c>
      <c r="AA142" s="274">
        <f t="shared" si="20"/>
        <v>0</v>
      </c>
      <c r="AB142" s="169">
        <f t="shared" si="28"/>
        <v>0</v>
      </c>
      <c r="AC142" s="274">
        <f t="shared" si="21"/>
        <v>0</v>
      </c>
      <c r="AD142" s="169">
        <f t="shared" si="22"/>
        <v>0</v>
      </c>
      <c r="AE142" s="274">
        <f t="shared" si="23"/>
        <v>0</v>
      </c>
      <c r="AF142" s="169">
        <f t="shared" si="29"/>
        <v>0</v>
      </c>
      <c r="AG142" s="274">
        <f t="shared" si="24"/>
        <v>0</v>
      </c>
      <c r="AH142" s="169">
        <f t="shared" si="30"/>
        <v>0</v>
      </c>
      <c r="AI142" s="169"/>
      <c r="AJ142" s="169">
        <f t="shared" si="31"/>
        <v>0</v>
      </c>
      <c r="AK142" s="169">
        <f t="shared" si="32"/>
        <v>0</v>
      </c>
      <c r="AL142" s="169"/>
      <c r="AM142" s="169">
        <f>AK141*W141+AK142*W142</f>
        <v>0</v>
      </c>
      <c r="AN142" s="169">
        <f>(SUM(AD141:AG141)*W141+SUM(AD142:AG142)*W142)*12*VLOOKUP(C142,JNovergang,3,1)</f>
        <v>0</v>
      </c>
      <c r="AO142" s="169">
        <f>AM142-AN142</f>
        <v>0</v>
      </c>
      <c r="AP142" s="169">
        <f>M142*(100+X142)%</f>
        <v>0</v>
      </c>
      <c r="AQ142" s="274">
        <f>ROUND(M142*F142,2)</f>
        <v>0</v>
      </c>
      <c r="AS142" s="274">
        <f>ROUND((AP142+AQ142)+AM142*(N142/12),0)</f>
        <v>0</v>
      </c>
      <c r="AT142" s="274">
        <f>ROUND(AM142*(O142/12),0)</f>
        <v>0</v>
      </c>
      <c r="AU142" s="274">
        <f>ROUND(AM142*(P142/12)*U142,0)</f>
        <v>0</v>
      </c>
      <c r="AW142" s="144">
        <f t="shared" si="33"/>
        <v>0</v>
      </c>
    </row>
    <row r="143" spans="1:49">
      <c r="A143" s="173"/>
      <c r="B143" s="174"/>
      <c r="C143" s="174"/>
      <c r="D143" s="165" t="str">
        <f t="shared" si="34"/>
        <v xml:space="preserve"> </v>
      </c>
      <c r="E143" s="177"/>
      <c r="F143" s="287">
        <v>0</v>
      </c>
      <c r="G143" s="177">
        <v>37</v>
      </c>
      <c r="H143" s="177">
        <v>37</v>
      </c>
      <c r="I143" s="177"/>
      <c r="J143" s="179"/>
      <c r="K143" s="177"/>
      <c r="L143" s="179"/>
      <c r="M143" s="166"/>
      <c r="N143" s="166"/>
      <c r="O143" s="166"/>
      <c r="P143" s="166"/>
      <c r="Q143" s="167"/>
      <c r="R143" s="167"/>
      <c r="S143" s="168"/>
      <c r="V143" s="144">
        <f t="shared" si="25"/>
        <v>0</v>
      </c>
      <c r="W143" s="144">
        <f t="shared" si="26"/>
        <v>0</v>
      </c>
      <c r="X143" s="144">
        <f t="shared" si="35"/>
        <v>0</v>
      </c>
      <c r="Y143" s="144">
        <f t="shared" si="27"/>
        <v>31.779800000000002</v>
      </c>
      <c r="Z143" s="169">
        <f t="shared" si="19"/>
        <v>0</v>
      </c>
      <c r="AA143" s="274">
        <f t="shared" si="20"/>
        <v>0</v>
      </c>
      <c r="AB143" s="169">
        <f t="shared" si="28"/>
        <v>0</v>
      </c>
      <c r="AC143" s="274">
        <f t="shared" si="21"/>
        <v>0</v>
      </c>
      <c r="AD143" s="169">
        <f t="shared" si="22"/>
        <v>0</v>
      </c>
      <c r="AE143" s="274">
        <f t="shared" si="23"/>
        <v>0</v>
      </c>
      <c r="AF143" s="169">
        <f t="shared" si="29"/>
        <v>0</v>
      </c>
      <c r="AG143" s="274">
        <f t="shared" si="24"/>
        <v>0</v>
      </c>
      <c r="AH143" s="169">
        <f t="shared" si="30"/>
        <v>0</v>
      </c>
      <c r="AI143" s="169"/>
      <c r="AJ143" s="169">
        <f t="shared" si="31"/>
        <v>0</v>
      </c>
      <c r="AK143" s="169">
        <f t="shared" si="32"/>
        <v>0</v>
      </c>
      <c r="AL143" s="169"/>
      <c r="AM143" s="169"/>
      <c r="AN143" s="169"/>
      <c r="AQ143" s="169"/>
      <c r="AW143" s="144">
        <f t="shared" si="33"/>
        <v>0</v>
      </c>
    </row>
    <row r="144" spans="1:49" ht="9.75" thickBot="1">
      <c r="A144" s="175"/>
      <c r="B144" s="176"/>
      <c r="C144" s="176"/>
      <c r="D144" s="170" t="str">
        <f t="shared" si="34"/>
        <v xml:space="preserve"> </v>
      </c>
      <c r="E144" s="178"/>
      <c r="F144" s="288">
        <v>0</v>
      </c>
      <c r="G144" s="178">
        <v>37</v>
      </c>
      <c r="H144" s="178">
        <v>37</v>
      </c>
      <c r="I144" s="178"/>
      <c r="J144" s="180"/>
      <c r="K144" s="178"/>
      <c r="L144" s="180"/>
      <c r="M144" s="180"/>
      <c r="N144" s="178"/>
      <c r="O144" s="178"/>
      <c r="P144" s="178"/>
      <c r="Q144" s="171">
        <f>AS144</f>
        <v>0</v>
      </c>
      <c r="R144" s="171">
        <f>AT144</f>
        <v>0</v>
      </c>
      <c r="S144" s="172">
        <f>AU144</f>
        <v>0</v>
      </c>
      <c r="U144" s="144">
        <f>IF(OR(C143=5,C144=5),0,1)</f>
        <v>1</v>
      </c>
      <c r="V144" s="144">
        <f t="shared" si="25"/>
        <v>0</v>
      </c>
      <c r="W144" s="144">
        <f t="shared" si="26"/>
        <v>0</v>
      </c>
      <c r="X144" s="144">
        <f t="shared" si="35"/>
        <v>0</v>
      </c>
      <c r="Y144" s="144">
        <f t="shared" si="27"/>
        <v>31.779800000000002</v>
      </c>
      <c r="Z144" s="169">
        <f t="shared" si="19"/>
        <v>0</v>
      </c>
      <c r="AA144" s="274">
        <f t="shared" si="20"/>
        <v>0</v>
      </c>
      <c r="AB144" s="169">
        <f t="shared" si="28"/>
        <v>0</v>
      </c>
      <c r="AC144" s="274">
        <f t="shared" si="21"/>
        <v>0</v>
      </c>
      <c r="AD144" s="169">
        <f t="shared" si="22"/>
        <v>0</v>
      </c>
      <c r="AE144" s="274">
        <f t="shared" si="23"/>
        <v>0</v>
      </c>
      <c r="AF144" s="169">
        <f t="shared" si="29"/>
        <v>0</v>
      </c>
      <c r="AG144" s="274">
        <f t="shared" si="24"/>
        <v>0</v>
      </c>
      <c r="AH144" s="169">
        <f t="shared" si="30"/>
        <v>0</v>
      </c>
      <c r="AI144" s="169"/>
      <c r="AJ144" s="169">
        <f t="shared" si="31"/>
        <v>0</v>
      </c>
      <c r="AK144" s="169">
        <f t="shared" si="32"/>
        <v>0</v>
      </c>
      <c r="AL144" s="169"/>
      <c r="AM144" s="169">
        <f>AK143*W143+AK144*W144</f>
        <v>0</v>
      </c>
      <c r="AN144" s="169">
        <f>(SUM(AD143:AG143)*W143+SUM(AD144:AG144)*W144)*12*VLOOKUP(C144,JNovergang,3,1)</f>
        <v>0</v>
      </c>
      <c r="AO144" s="169">
        <f>AM144-AN144</f>
        <v>0</v>
      </c>
      <c r="AP144" s="169">
        <f>M144*(100+X144)%</f>
        <v>0</v>
      </c>
      <c r="AQ144" s="274">
        <f>ROUND(M144*F144,2)</f>
        <v>0</v>
      </c>
      <c r="AS144" s="274">
        <f>ROUND((AP144+AQ144)+AM144*(N144/12),0)</f>
        <v>0</v>
      </c>
      <c r="AT144" s="274">
        <f>ROUND(AM144*(O144/12),0)</f>
        <v>0</v>
      </c>
      <c r="AU144" s="274">
        <f>ROUND(AM144*(P144/12)*U144,0)</f>
        <v>0</v>
      </c>
      <c r="AW144" s="144">
        <f t="shared" si="33"/>
        <v>0</v>
      </c>
    </row>
    <row r="145" spans="1:49">
      <c r="A145" s="173"/>
      <c r="B145" s="174"/>
      <c r="C145" s="174"/>
      <c r="D145" s="165" t="str">
        <f t="shared" si="34"/>
        <v xml:space="preserve"> </v>
      </c>
      <c r="E145" s="177"/>
      <c r="F145" s="287">
        <v>0</v>
      </c>
      <c r="G145" s="177">
        <v>37</v>
      </c>
      <c r="H145" s="177">
        <v>37</v>
      </c>
      <c r="I145" s="177"/>
      <c r="J145" s="179"/>
      <c r="K145" s="177"/>
      <c r="L145" s="179"/>
      <c r="M145" s="166"/>
      <c r="N145" s="166"/>
      <c r="O145" s="166"/>
      <c r="P145" s="166"/>
      <c r="Q145" s="167"/>
      <c r="R145" s="167"/>
      <c r="S145" s="168"/>
      <c r="V145" s="144">
        <f t="shared" si="25"/>
        <v>0</v>
      </c>
      <c r="W145" s="144">
        <f t="shared" si="26"/>
        <v>0</v>
      </c>
      <c r="X145" s="144">
        <f t="shared" si="35"/>
        <v>0</v>
      </c>
      <c r="Y145" s="144">
        <f t="shared" si="27"/>
        <v>31.779800000000002</v>
      </c>
      <c r="Z145" s="169">
        <f t="shared" si="19"/>
        <v>0</v>
      </c>
      <c r="AA145" s="274">
        <f t="shared" si="20"/>
        <v>0</v>
      </c>
      <c r="AB145" s="169">
        <f t="shared" si="28"/>
        <v>0</v>
      </c>
      <c r="AC145" s="274">
        <f t="shared" si="21"/>
        <v>0</v>
      </c>
      <c r="AD145" s="169">
        <f t="shared" si="22"/>
        <v>0</v>
      </c>
      <c r="AE145" s="274">
        <f t="shared" si="23"/>
        <v>0</v>
      </c>
      <c r="AF145" s="169">
        <f t="shared" si="29"/>
        <v>0</v>
      </c>
      <c r="AG145" s="274">
        <f t="shared" si="24"/>
        <v>0</v>
      </c>
      <c r="AH145" s="169">
        <f t="shared" si="30"/>
        <v>0</v>
      </c>
      <c r="AI145" s="169"/>
      <c r="AJ145" s="169">
        <f t="shared" si="31"/>
        <v>0</v>
      </c>
      <c r="AK145" s="169">
        <f t="shared" si="32"/>
        <v>0</v>
      </c>
      <c r="AL145" s="169"/>
      <c r="AM145" s="169"/>
      <c r="AN145" s="169"/>
      <c r="AQ145" s="169"/>
      <c r="AW145" s="144">
        <f t="shared" si="33"/>
        <v>0</v>
      </c>
    </row>
    <row r="146" spans="1:49" ht="9.75" thickBot="1">
      <c r="A146" s="175"/>
      <c r="B146" s="176"/>
      <c r="C146" s="176"/>
      <c r="D146" s="170" t="str">
        <f t="shared" si="34"/>
        <v xml:space="preserve"> </v>
      </c>
      <c r="E146" s="178"/>
      <c r="F146" s="288">
        <v>0</v>
      </c>
      <c r="G146" s="178">
        <v>37</v>
      </c>
      <c r="H146" s="178">
        <v>37</v>
      </c>
      <c r="I146" s="178"/>
      <c r="J146" s="180"/>
      <c r="K146" s="178"/>
      <c r="L146" s="180"/>
      <c r="M146" s="180"/>
      <c r="N146" s="178"/>
      <c r="O146" s="178"/>
      <c r="P146" s="178"/>
      <c r="Q146" s="171">
        <f>AS146</f>
        <v>0</v>
      </c>
      <c r="R146" s="171">
        <f>AT146</f>
        <v>0</v>
      </c>
      <c r="S146" s="172">
        <f>AU146</f>
        <v>0</v>
      </c>
      <c r="U146" s="144">
        <f>IF(OR(C145=5,C146=5),0,1)</f>
        <v>1</v>
      </c>
      <c r="V146" s="144">
        <f t="shared" si="25"/>
        <v>0</v>
      </c>
      <c r="W146" s="144">
        <f t="shared" si="26"/>
        <v>0</v>
      </c>
      <c r="X146" s="144">
        <f t="shared" si="35"/>
        <v>0</v>
      </c>
      <c r="Y146" s="144">
        <f t="shared" si="27"/>
        <v>31.779800000000002</v>
      </c>
      <c r="Z146" s="169">
        <f t="shared" si="19"/>
        <v>0</v>
      </c>
      <c r="AA146" s="274">
        <f t="shared" si="20"/>
        <v>0</v>
      </c>
      <c r="AB146" s="169">
        <f t="shared" si="28"/>
        <v>0</v>
      </c>
      <c r="AC146" s="274">
        <f t="shared" si="21"/>
        <v>0</v>
      </c>
      <c r="AD146" s="169">
        <f t="shared" si="22"/>
        <v>0</v>
      </c>
      <c r="AE146" s="274">
        <f t="shared" si="23"/>
        <v>0</v>
      </c>
      <c r="AF146" s="169">
        <f t="shared" si="29"/>
        <v>0</v>
      </c>
      <c r="AG146" s="274">
        <f t="shared" si="24"/>
        <v>0</v>
      </c>
      <c r="AH146" s="169">
        <f t="shared" si="30"/>
        <v>0</v>
      </c>
      <c r="AI146" s="169"/>
      <c r="AJ146" s="169">
        <f t="shared" si="31"/>
        <v>0</v>
      </c>
      <c r="AK146" s="169">
        <f t="shared" si="32"/>
        <v>0</v>
      </c>
      <c r="AL146" s="169"/>
      <c r="AM146" s="169">
        <f>AK145*W145+AK146*W146</f>
        <v>0</v>
      </c>
      <c r="AN146" s="169">
        <f>(SUM(AD145:AG145)*W145+SUM(AD146:AG146)*W146)*12*VLOOKUP(C146,JNovergang,3,1)</f>
        <v>0</v>
      </c>
      <c r="AO146" s="169">
        <f>AM146-AN146</f>
        <v>0</v>
      </c>
      <c r="AP146" s="169">
        <f>M146*(100+X146)%</f>
        <v>0</v>
      </c>
      <c r="AQ146" s="274">
        <f>ROUND(M146*F146,2)</f>
        <v>0</v>
      </c>
      <c r="AS146" s="274">
        <f>ROUND((AP146+AQ146)+AM146*(N146/12),0)</f>
        <v>0</v>
      </c>
      <c r="AT146" s="274">
        <f>ROUND(AM146*(O146/12),0)</f>
        <v>0</v>
      </c>
      <c r="AU146" s="274">
        <f>ROUND(AM146*(P146/12)*U146,0)</f>
        <v>0</v>
      </c>
      <c r="AW146" s="144">
        <f t="shared" si="33"/>
        <v>0</v>
      </c>
    </row>
    <row r="147" spans="1:49">
      <c r="A147" s="173"/>
      <c r="B147" s="174"/>
      <c r="C147" s="174"/>
      <c r="D147" s="165" t="str">
        <f t="shared" si="34"/>
        <v xml:space="preserve"> </v>
      </c>
      <c r="E147" s="177"/>
      <c r="F147" s="287">
        <v>0</v>
      </c>
      <c r="G147" s="177">
        <v>37</v>
      </c>
      <c r="H147" s="177">
        <v>37</v>
      </c>
      <c r="I147" s="177"/>
      <c r="J147" s="179"/>
      <c r="K147" s="177"/>
      <c r="L147" s="179"/>
      <c r="M147" s="166"/>
      <c r="N147" s="166"/>
      <c r="O147" s="166"/>
      <c r="P147" s="166"/>
      <c r="Q147" s="167"/>
      <c r="R147" s="167"/>
      <c r="S147" s="168"/>
      <c r="V147" s="144">
        <f t="shared" si="25"/>
        <v>0</v>
      </c>
      <c r="W147" s="144">
        <f t="shared" si="26"/>
        <v>0</v>
      </c>
      <c r="X147" s="144">
        <f t="shared" si="35"/>
        <v>0</v>
      </c>
      <c r="Y147" s="144">
        <f t="shared" si="27"/>
        <v>31.779800000000002</v>
      </c>
      <c r="Z147" s="169">
        <f t="shared" si="19"/>
        <v>0</v>
      </c>
      <c r="AA147" s="274">
        <f t="shared" si="20"/>
        <v>0</v>
      </c>
      <c r="AB147" s="169">
        <f t="shared" si="28"/>
        <v>0</v>
      </c>
      <c r="AC147" s="274">
        <f t="shared" si="21"/>
        <v>0</v>
      </c>
      <c r="AD147" s="169">
        <f t="shared" si="22"/>
        <v>0</v>
      </c>
      <c r="AE147" s="274">
        <f t="shared" si="23"/>
        <v>0</v>
      </c>
      <c r="AF147" s="169">
        <f t="shared" si="29"/>
        <v>0</v>
      </c>
      <c r="AG147" s="274">
        <f t="shared" si="24"/>
        <v>0</v>
      </c>
      <c r="AH147" s="169">
        <f t="shared" si="30"/>
        <v>0</v>
      </c>
      <c r="AI147" s="169"/>
      <c r="AJ147" s="169">
        <f t="shared" si="31"/>
        <v>0</v>
      </c>
      <c r="AK147" s="169">
        <f t="shared" si="32"/>
        <v>0</v>
      </c>
      <c r="AL147" s="169"/>
      <c r="AM147" s="169"/>
      <c r="AN147" s="169"/>
      <c r="AQ147" s="169"/>
      <c r="AW147" s="144">
        <f t="shared" si="33"/>
        <v>0</v>
      </c>
    </row>
    <row r="148" spans="1:49" ht="9.75" thickBot="1">
      <c r="A148" s="175"/>
      <c r="B148" s="176"/>
      <c r="C148" s="176"/>
      <c r="D148" s="170" t="str">
        <f t="shared" si="34"/>
        <v xml:space="preserve"> </v>
      </c>
      <c r="E148" s="178"/>
      <c r="F148" s="288">
        <v>0</v>
      </c>
      <c r="G148" s="178">
        <v>37</v>
      </c>
      <c r="H148" s="178">
        <v>37</v>
      </c>
      <c r="I148" s="178"/>
      <c r="J148" s="180"/>
      <c r="K148" s="178"/>
      <c r="L148" s="180"/>
      <c r="M148" s="180"/>
      <c r="N148" s="178"/>
      <c r="O148" s="178"/>
      <c r="P148" s="178"/>
      <c r="Q148" s="171">
        <f>AS148</f>
        <v>0</v>
      </c>
      <c r="R148" s="171">
        <f>AT148</f>
        <v>0</v>
      </c>
      <c r="S148" s="172">
        <f>AU148</f>
        <v>0</v>
      </c>
      <c r="U148" s="144">
        <f>IF(OR(C147=5,C148=5),0,1)</f>
        <v>1</v>
      </c>
      <c r="V148" s="144">
        <f t="shared" si="25"/>
        <v>0</v>
      </c>
      <c r="W148" s="144">
        <f t="shared" si="26"/>
        <v>0</v>
      </c>
      <c r="X148" s="144">
        <f t="shared" si="35"/>
        <v>0</v>
      </c>
      <c r="Y148" s="144">
        <f t="shared" si="27"/>
        <v>31.779800000000002</v>
      </c>
      <c r="Z148" s="169">
        <f t="shared" si="19"/>
        <v>0</v>
      </c>
      <c r="AA148" s="274">
        <f t="shared" si="20"/>
        <v>0</v>
      </c>
      <c r="AB148" s="169">
        <f t="shared" si="28"/>
        <v>0</v>
      </c>
      <c r="AC148" s="274">
        <f t="shared" si="21"/>
        <v>0</v>
      </c>
      <c r="AD148" s="169">
        <f t="shared" si="22"/>
        <v>0</v>
      </c>
      <c r="AE148" s="274">
        <f t="shared" si="23"/>
        <v>0</v>
      </c>
      <c r="AF148" s="169">
        <f t="shared" si="29"/>
        <v>0</v>
      </c>
      <c r="AG148" s="274">
        <f t="shared" si="24"/>
        <v>0</v>
      </c>
      <c r="AH148" s="169">
        <f t="shared" si="30"/>
        <v>0</v>
      </c>
      <c r="AI148" s="169"/>
      <c r="AJ148" s="169">
        <f t="shared" si="31"/>
        <v>0</v>
      </c>
      <c r="AK148" s="169">
        <f t="shared" si="32"/>
        <v>0</v>
      </c>
      <c r="AL148" s="169"/>
      <c r="AM148" s="169">
        <f>AK147*W147+AK148*W148</f>
        <v>0</v>
      </c>
      <c r="AN148" s="169">
        <f>(SUM(AD147:AG147)*W147+SUM(AD148:AG148)*W148)*12*VLOOKUP(C148,JNovergang,3,1)</f>
        <v>0</v>
      </c>
      <c r="AO148" s="169">
        <f>AM148-AN148</f>
        <v>0</v>
      </c>
      <c r="AP148" s="169">
        <f>M148*(100+X148)%</f>
        <v>0</v>
      </c>
      <c r="AQ148" s="274">
        <f>ROUND(M148*F148,2)</f>
        <v>0</v>
      </c>
      <c r="AS148" s="274">
        <f>ROUND((AP148+AQ148)+AM148*(N148/12),0)</f>
        <v>0</v>
      </c>
      <c r="AT148" s="274">
        <f>ROUND(AM148*(O148/12),0)</f>
        <v>0</v>
      </c>
      <c r="AU148" s="274">
        <f>ROUND(AM148*(P148/12)*U148,0)</f>
        <v>0</v>
      </c>
      <c r="AW148" s="144">
        <f t="shared" si="33"/>
        <v>0</v>
      </c>
    </row>
    <row r="149" spans="1:49">
      <c r="A149" s="173"/>
      <c r="B149" s="174"/>
      <c r="C149" s="174"/>
      <c r="D149" s="165" t="str">
        <f t="shared" si="34"/>
        <v xml:space="preserve"> </v>
      </c>
      <c r="E149" s="177"/>
      <c r="F149" s="287">
        <v>0</v>
      </c>
      <c r="G149" s="177">
        <v>37</v>
      </c>
      <c r="H149" s="177">
        <v>37</v>
      </c>
      <c r="I149" s="177"/>
      <c r="J149" s="179"/>
      <c r="K149" s="177"/>
      <c r="L149" s="179"/>
      <c r="M149" s="166"/>
      <c r="N149" s="166"/>
      <c r="O149" s="166"/>
      <c r="P149" s="166"/>
      <c r="Q149" s="167"/>
      <c r="R149" s="167"/>
      <c r="S149" s="168"/>
      <c r="V149" s="144">
        <f t="shared" si="25"/>
        <v>0</v>
      </c>
      <c r="W149" s="144">
        <f t="shared" si="26"/>
        <v>0</v>
      </c>
      <c r="X149" s="144">
        <f t="shared" si="35"/>
        <v>0</v>
      </c>
      <c r="Y149" s="144">
        <f t="shared" si="27"/>
        <v>31.779800000000002</v>
      </c>
      <c r="Z149" s="169">
        <f t="shared" ref="Z149:Z212" si="36">ROUND(VLOOKUP(I149,TabelLønninger,VLOOKUP(E149,TabelLøntabel,2,1),1)*G149/H149,2)</f>
        <v>0</v>
      </c>
      <c r="AA149" s="274">
        <f t="shared" ref="AA149:AA212" si="37">ROUND(VLOOKUP(I149,TabelLønninger,VLOOKUP(E149,TabelPensgivLøn,2))*F149/12*G149/H149,2)</f>
        <v>0</v>
      </c>
      <c r="AB149" s="169">
        <f t="shared" si="28"/>
        <v>0</v>
      </c>
      <c r="AC149" s="274">
        <f t="shared" ref="AC149:AC212" si="38">ROUND(AB149*F149,2)</f>
        <v>0</v>
      </c>
      <c r="AD149" s="169">
        <f t="shared" ref="AD149:AD212" si="39">ROUND(VLOOKUP(I149+K149,TabelLønninger,VLOOKUP(E149,TabelLøntabel,2,1),1)*G149/H149,2)-Z149</f>
        <v>0</v>
      </c>
      <c r="AE149" s="274">
        <f t="shared" ref="AE149:AE212" si="40">ROUND(VLOOKUP(I149+K149,TabelLønninger,VLOOKUP(E149,TabelPensgivLøn,2))*F149/12*G149/H149,2)-AA149</f>
        <v>0</v>
      </c>
      <c r="AF149" s="169">
        <f t="shared" si="29"/>
        <v>0</v>
      </c>
      <c r="AG149" s="274">
        <f t="shared" ref="AG149:AG212" si="41">ROUND(AF149*F149,2)</f>
        <v>0</v>
      </c>
      <c r="AH149" s="169">
        <f t="shared" si="30"/>
        <v>0</v>
      </c>
      <c r="AI149" s="169"/>
      <c r="AJ149" s="169">
        <f t="shared" si="31"/>
        <v>0</v>
      </c>
      <c r="AK149" s="169">
        <f t="shared" si="32"/>
        <v>0</v>
      </c>
      <c r="AL149" s="169"/>
      <c r="AM149" s="169"/>
      <c r="AN149" s="169"/>
      <c r="AQ149" s="169"/>
      <c r="AW149" s="144">
        <f t="shared" si="33"/>
        <v>0</v>
      </c>
    </row>
    <row r="150" spans="1:49" ht="9.75" thickBot="1">
      <c r="A150" s="175"/>
      <c r="B150" s="176"/>
      <c r="C150" s="176"/>
      <c r="D150" s="170" t="str">
        <f t="shared" si="34"/>
        <v xml:space="preserve"> </v>
      </c>
      <c r="E150" s="178"/>
      <c r="F150" s="288">
        <v>0</v>
      </c>
      <c r="G150" s="178">
        <v>37</v>
      </c>
      <c r="H150" s="178">
        <v>37</v>
      </c>
      <c r="I150" s="178"/>
      <c r="J150" s="180"/>
      <c r="K150" s="178"/>
      <c r="L150" s="180"/>
      <c r="M150" s="180"/>
      <c r="N150" s="178"/>
      <c r="O150" s="178"/>
      <c r="P150" s="178"/>
      <c r="Q150" s="171">
        <f>AS150</f>
        <v>0</v>
      </c>
      <c r="R150" s="171">
        <f>AT150</f>
        <v>0</v>
      </c>
      <c r="S150" s="172">
        <f>AU150</f>
        <v>0</v>
      </c>
      <c r="U150" s="144">
        <f>IF(OR(C149=5,C150=5),0,1)</f>
        <v>1</v>
      </c>
      <c r="V150" s="144">
        <f t="shared" ref="V150:V213" si="42">VLOOKUP(C150,TabelRammeforbrug,3,1)</f>
        <v>0</v>
      </c>
      <c r="W150" s="144">
        <f t="shared" ref="W150:W213" si="43">VLOOKUP(C150,FraTil,3,1)</f>
        <v>0</v>
      </c>
      <c r="X150" s="144">
        <f t="shared" si="35"/>
        <v>0</v>
      </c>
      <c r="Y150" s="144">
        <f t="shared" ref="Y150:Y213" si="44">VLOOKUP(E150,TabelPctReg,2)</f>
        <v>31.779800000000002</v>
      </c>
      <c r="Z150" s="169">
        <f t="shared" si="36"/>
        <v>0</v>
      </c>
      <c r="AA150" s="274">
        <f t="shared" si="37"/>
        <v>0</v>
      </c>
      <c r="AB150" s="169">
        <f t="shared" ref="AB150:AB213" si="45">ROUND(J150/12*(1+Y150%),2)*G150/H150</f>
        <v>0</v>
      </c>
      <c r="AC150" s="274">
        <f t="shared" si="38"/>
        <v>0</v>
      </c>
      <c r="AD150" s="169">
        <f t="shared" si="39"/>
        <v>0</v>
      </c>
      <c r="AE150" s="274">
        <f t="shared" si="40"/>
        <v>0</v>
      </c>
      <c r="AF150" s="169">
        <f t="shared" ref="AF150:AF213" si="46">ROUND(L150/12*(1+Y150%),2)*G150/H150</f>
        <v>0</v>
      </c>
      <c r="AG150" s="274">
        <f t="shared" si="41"/>
        <v>0</v>
      </c>
      <c r="AH150" s="169">
        <f t="shared" ref="AH150:AH213" si="47">ROUND((Z150+AB150+AD150+AF150)*X150%,2)</f>
        <v>0</v>
      </c>
      <c r="AI150" s="169"/>
      <c r="AJ150" s="169">
        <f t="shared" ref="AJ150:AJ213" si="48">SUM(Z150:AH150)</f>
        <v>0</v>
      </c>
      <c r="AK150" s="169">
        <f t="shared" ref="AK150:AK213" si="49">AJ150*12</f>
        <v>0</v>
      </c>
      <c r="AL150" s="169"/>
      <c r="AM150" s="169">
        <f>AK149*W149+AK150*W150</f>
        <v>0</v>
      </c>
      <c r="AN150" s="169">
        <f>(SUM(AD149:AG149)*W149+SUM(AD150:AG150)*W150)*12*VLOOKUP(C150,JNovergang,3,1)</f>
        <v>0</v>
      </c>
      <c r="AO150" s="169">
        <f>AM150-AN150</f>
        <v>0</v>
      </c>
      <c r="AP150" s="169">
        <f>M150*(100+X150)%</f>
        <v>0</v>
      </c>
      <c r="AQ150" s="274">
        <f>ROUND(M150*F150,2)</f>
        <v>0</v>
      </c>
      <c r="AS150" s="274">
        <f>ROUND((AP150+AQ150)+AM150*(N150/12),0)</f>
        <v>0</v>
      </c>
      <c r="AT150" s="274">
        <f>ROUND(AM150*(O150/12),0)</f>
        <v>0</v>
      </c>
      <c r="AU150" s="274">
        <f>ROUND(AM150*(P150/12)*U150,0)</f>
        <v>0</v>
      </c>
      <c r="AW150" s="144">
        <f t="shared" ref="AW150:AW213" si="50">IF(ISNUMBER(C150),ROW(),0)</f>
        <v>0</v>
      </c>
    </row>
    <row r="151" spans="1:49">
      <c r="A151" s="173"/>
      <c r="B151" s="174"/>
      <c r="C151" s="174"/>
      <c r="D151" s="165" t="str">
        <f t="shared" si="34"/>
        <v xml:space="preserve"> </v>
      </c>
      <c r="E151" s="177"/>
      <c r="F151" s="287">
        <v>0</v>
      </c>
      <c r="G151" s="177">
        <v>37</v>
      </c>
      <c r="H151" s="177">
        <v>37</v>
      </c>
      <c r="I151" s="177"/>
      <c r="J151" s="179"/>
      <c r="K151" s="177"/>
      <c r="L151" s="179"/>
      <c r="M151" s="166"/>
      <c r="N151" s="166"/>
      <c r="O151" s="166"/>
      <c r="P151" s="166"/>
      <c r="Q151" s="167"/>
      <c r="R151" s="167"/>
      <c r="S151" s="168"/>
      <c r="V151" s="144">
        <f t="shared" si="42"/>
        <v>0</v>
      </c>
      <c r="W151" s="144">
        <f t="shared" si="43"/>
        <v>0</v>
      </c>
      <c r="X151" s="144">
        <f t="shared" si="35"/>
        <v>0</v>
      </c>
      <c r="Y151" s="144">
        <f t="shared" si="44"/>
        <v>31.779800000000002</v>
      </c>
      <c r="Z151" s="169">
        <f t="shared" si="36"/>
        <v>0</v>
      </c>
      <c r="AA151" s="274">
        <f t="shared" si="37"/>
        <v>0</v>
      </c>
      <c r="AB151" s="169">
        <f t="shared" si="45"/>
        <v>0</v>
      </c>
      <c r="AC151" s="274">
        <f t="shared" si="38"/>
        <v>0</v>
      </c>
      <c r="AD151" s="169">
        <f t="shared" si="39"/>
        <v>0</v>
      </c>
      <c r="AE151" s="274">
        <f t="shared" si="40"/>
        <v>0</v>
      </c>
      <c r="AF151" s="169">
        <f t="shared" si="46"/>
        <v>0</v>
      </c>
      <c r="AG151" s="274">
        <f t="shared" si="41"/>
        <v>0</v>
      </c>
      <c r="AH151" s="169">
        <f t="shared" si="47"/>
        <v>0</v>
      </c>
      <c r="AI151" s="169"/>
      <c r="AJ151" s="169">
        <f t="shared" si="48"/>
        <v>0</v>
      </c>
      <c r="AK151" s="169">
        <f t="shared" si="49"/>
        <v>0</v>
      </c>
      <c r="AL151" s="169"/>
      <c r="AM151" s="169"/>
      <c r="AN151" s="169"/>
      <c r="AQ151" s="169"/>
      <c r="AW151" s="144">
        <f t="shared" si="50"/>
        <v>0</v>
      </c>
    </row>
    <row r="152" spans="1:49" ht="9.75" thickBot="1">
      <c r="A152" s="175"/>
      <c r="B152" s="176"/>
      <c r="C152" s="176"/>
      <c r="D152" s="170" t="str">
        <f t="shared" si="34"/>
        <v xml:space="preserve"> </v>
      </c>
      <c r="E152" s="178"/>
      <c r="F152" s="288">
        <v>0</v>
      </c>
      <c r="G152" s="178">
        <v>37</v>
      </c>
      <c r="H152" s="178">
        <v>37</v>
      </c>
      <c r="I152" s="178"/>
      <c r="J152" s="180"/>
      <c r="K152" s="178"/>
      <c r="L152" s="180"/>
      <c r="M152" s="180"/>
      <c r="N152" s="178"/>
      <c r="O152" s="178"/>
      <c r="P152" s="178"/>
      <c r="Q152" s="171">
        <f>AS152</f>
        <v>0</v>
      </c>
      <c r="R152" s="171">
        <f>AT152</f>
        <v>0</v>
      </c>
      <c r="S152" s="172">
        <f>AU152</f>
        <v>0</v>
      </c>
      <c r="U152" s="144">
        <f>IF(OR(C151=5,C152=5),0,1)</f>
        <v>1</v>
      </c>
      <c r="V152" s="144">
        <f t="shared" si="42"/>
        <v>0</v>
      </c>
      <c r="W152" s="144">
        <f t="shared" si="43"/>
        <v>0</v>
      </c>
      <c r="X152" s="144">
        <f t="shared" si="35"/>
        <v>0</v>
      </c>
      <c r="Y152" s="144">
        <f t="shared" si="44"/>
        <v>31.779800000000002</v>
      </c>
      <c r="Z152" s="169">
        <f t="shared" si="36"/>
        <v>0</v>
      </c>
      <c r="AA152" s="274">
        <f t="shared" si="37"/>
        <v>0</v>
      </c>
      <c r="AB152" s="169">
        <f t="shared" si="45"/>
        <v>0</v>
      </c>
      <c r="AC152" s="274">
        <f t="shared" si="38"/>
        <v>0</v>
      </c>
      <c r="AD152" s="169">
        <f t="shared" si="39"/>
        <v>0</v>
      </c>
      <c r="AE152" s="274">
        <f t="shared" si="40"/>
        <v>0</v>
      </c>
      <c r="AF152" s="169">
        <f t="shared" si="46"/>
        <v>0</v>
      </c>
      <c r="AG152" s="274">
        <f t="shared" si="41"/>
        <v>0</v>
      </c>
      <c r="AH152" s="169">
        <f t="shared" si="47"/>
        <v>0</v>
      </c>
      <c r="AI152" s="169"/>
      <c r="AJ152" s="169">
        <f t="shared" si="48"/>
        <v>0</v>
      </c>
      <c r="AK152" s="169">
        <f t="shared" si="49"/>
        <v>0</v>
      </c>
      <c r="AL152" s="169"/>
      <c r="AM152" s="169">
        <f>AK151*W151+AK152*W152</f>
        <v>0</v>
      </c>
      <c r="AN152" s="169">
        <f>(SUM(AD151:AG151)*W151+SUM(AD152:AG152)*W152)*12*VLOOKUP(C152,JNovergang,3,1)</f>
        <v>0</v>
      </c>
      <c r="AO152" s="169">
        <f>AM152-AN152</f>
        <v>0</v>
      </c>
      <c r="AP152" s="169">
        <f>M152*(100+X152)%</f>
        <v>0</v>
      </c>
      <c r="AQ152" s="274">
        <f>ROUND(M152*F152,2)</f>
        <v>0</v>
      </c>
      <c r="AS152" s="274">
        <f>ROUND((AP152+AQ152)+AM152*(N152/12),0)</f>
        <v>0</v>
      </c>
      <c r="AT152" s="274">
        <f>ROUND(AM152*(O152/12),0)</f>
        <v>0</v>
      </c>
      <c r="AU152" s="274">
        <f>ROUND(AM152*(P152/12)*U152,0)</f>
        <v>0</v>
      </c>
      <c r="AW152" s="144">
        <f t="shared" si="50"/>
        <v>0</v>
      </c>
    </row>
    <row r="153" spans="1:49">
      <c r="A153" s="173"/>
      <c r="B153" s="174"/>
      <c r="C153" s="174"/>
      <c r="D153" s="165" t="str">
        <f t="shared" si="34"/>
        <v xml:space="preserve"> </v>
      </c>
      <c r="E153" s="177"/>
      <c r="F153" s="287">
        <v>0</v>
      </c>
      <c r="G153" s="177">
        <v>37</v>
      </c>
      <c r="H153" s="177">
        <v>37</v>
      </c>
      <c r="I153" s="177"/>
      <c r="J153" s="179"/>
      <c r="K153" s="177"/>
      <c r="L153" s="179"/>
      <c r="M153" s="166"/>
      <c r="N153" s="166"/>
      <c r="O153" s="166"/>
      <c r="P153" s="166"/>
      <c r="Q153" s="167"/>
      <c r="R153" s="167"/>
      <c r="S153" s="168"/>
      <c r="V153" s="144">
        <f t="shared" si="42"/>
        <v>0</v>
      </c>
      <c r="W153" s="144">
        <f t="shared" si="43"/>
        <v>0</v>
      </c>
      <c r="X153" s="144">
        <f t="shared" si="35"/>
        <v>0</v>
      </c>
      <c r="Y153" s="144">
        <f t="shared" si="44"/>
        <v>31.779800000000002</v>
      </c>
      <c r="Z153" s="169">
        <f t="shared" si="36"/>
        <v>0</v>
      </c>
      <c r="AA153" s="274">
        <f t="shared" si="37"/>
        <v>0</v>
      </c>
      <c r="AB153" s="169">
        <f t="shared" si="45"/>
        <v>0</v>
      </c>
      <c r="AC153" s="274">
        <f t="shared" si="38"/>
        <v>0</v>
      </c>
      <c r="AD153" s="169">
        <f t="shared" si="39"/>
        <v>0</v>
      </c>
      <c r="AE153" s="274">
        <f t="shared" si="40"/>
        <v>0</v>
      </c>
      <c r="AF153" s="169">
        <f t="shared" si="46"/>
        <v>0</v>
      </c>
      <c r="AG153" s="274">
        <f t="shared" si="41"/>
        <v>0</v>
      </c>
      <c r="AH153" s="169">
        <f t="shared" si="47"/>
        <v>0</v>
      </c>
      <c r="AI153" s="169"/>
      <c r="AJ153" s="169">
        <f t="shared" si="48"/>
        <v>0</v>
      </c>
      <c r="AK153" s="169">
        <f t="shared" si="49"/>
        <v>0</v>
      </c>
      <c r="AL153" s="169"/>
      <c r="AM153" s="169"/>
      <c r="AN153" s="169"/>
      <c r="AQ153" s="169"/>
      <c r="AW153" s="144">
        <f t="shared" si="50"/>
        <v>0</v>
      </c>
    </row>
    <row r="154" spans="1:49" ht="9.75" thickBot="1">
      <c r="A154" s="175"/>
      <c r="B154" s="176"/>
      <c r="C154" s="176"/>
      <c r="D154" s="170" t="str">
        <f t="shared" si="34"/>
        <v xml:space="preserve"> </v>
      </c>
      <c r="E154" s="178"/>
      <c r="F154" s="288">
        <v>0</v>
      </c>
      <c r="G154" s="178">
        <v>37</v>
      </c>
      <c r="H154" s="178">
        <v>37</v>
      </c>
      <c r="I154" s="178"/>
      <c r="J154" s="180"/>
      <c r="K154" s="178"/>
      <c r="L154" s="180"/>
      <c r="M154" s="180"/>
      <c r="N154" s="178"/>
      <c r="O154" s="178"/>
      <c r="P154" s="178"/>
      <c r="Q154" s="171">
        <f>AS154</f>
        <v>0</v>
      </c>
      <c r="R154" s="171">
        <f>AT154</f>
        <v>0</v>
      </c>
      <c r="S154" s="172">
        <f>AU154</f>
        <v>0</v>
      </c>
      <c r="U154" s="144">
        <f>IF(OR(C153=5,C154=5),0,1)</f>
        <v>1</v>
      </c>
      <c r="V154" s="144">
        <f t="shared" si="42"/>
        <v>0</v>
      </c>
      <c r="W154" s="144">
        <f t="shared" si="43"/>
        <v>0</v>
      </c>
      <c r="X154" s="144">
        <f t="shared" si="35"/>
        <v>0</v>
      </c>
      <c r="Y154" s="144">
        <f t="shared" si="44"/>
        <v>31.779800000000002</v>
      </c>
      <c r="Z154" s="169">
        <f t="shared" si="36"/>
        <v>0</v>
      </c>
      <c r="AA154" s="274">
        <f t="shared" si="37"/>
        <v>0</v>
      </c>
      <c r="AB154" s="169">
        <f t="shared" si="45"/>
        <v>0</v>
      </c>
      <c r="AC154" s="274">
        <f t="shared" si="38"/>
        <v>0</v>
      </c>
      <c r="AD154" s="169">
        <f t="shared" si="39"/>
        <v>0</v>
      </c>
      <c r="AE154" s="274">
        <f t="shared" si="40"/>
        <v>0</v>
      </c>
      <c r="AF154" s="169">
        <f t="shared" si="46"/>
        <v>0</v>
      </c>
      <c r="AG154" s="274">
        <f t="shared" si="41"/>
        <v>0</v>
      </c>
      <c r="AH154" s="169">
        <f t="shared" si="47"/>
        <v>0</v>
      </c>
      <c r="AI154" s="169"/>
      <c r="AJ154" s="169">
        <f t="shared" si="48"/>
        <v>0</v>
      </c>
      <c r="AK154" s="169">
        <f t="shared" si="49"/>
        <v>0</v>
      </c>
      <c r="AL154" s="169"/>
      <c r="AM154" s="169">
        <f>AK153*W153+AK154*W154</f>
        <v>0</v>
      </c>
      <c r="AN154" s="169">
        <f>(SUM(AD153:AG153)*W153+SUM(AD154:AG154)*W154)*12*VLOOKUP(C154,JNovergang,3,1)</f>
        <v>0</v>
      </c>
      <c r="AO154" s="169">
        <f>AM154-AN154</f>
        <v>0</v>
      </c>
      <c r="AP154" s="169">
        <f>M154*(100+X154)%</f>
        <v>0</v>
      </c>
      <c r="AQ154" s="274">
        <f>ROUND(M154*F154,2)</f>
        <v>0</v>
      </c>
      <c r="AS154" s="274">
        <f>ROUND((AP154+AQ154)+AM154*(N154/12),0)</f>
        <v>0</v>
      </c>
      <c r="AT154" s="274">
        <f>ROUND(AM154*(O154/12),0)</f>
        <v>0</v>
      </c>
      <c r="AU154" s="274">
        <f>ROUND(AM154*(P154/12)*U154,0)</f>
        <v>0</v>
      </c>
      <c r="AW154" s="144">
        <f t="shared" si="50"/>
        <v>0</v>
      </c>
    </row>
    <row r="155" spans="1:49">
      <c r="A155" s="173"/>
      <c r="B155" s="174"/>
      <c r="C155" s="174"/>
      <c r="D155" s="165" t="str">
        <f t="shared" si="34"/>
        <v xml:space="preserve"> </v>
      </c>
      <c r="E155" s="177"/>
      <c r="F155" s="287">
        <v>0</v>
      </c>
      <c r="G155" s="177">
        <v>37</v>
      </c>
      <c r="H155" s="177">
        <v>37</v>
      </c>
      <c r="I155" s="177"/>
      <c r="J155" s="179"/>
      <c r="K155" s="177"/>
      <c r="L155" s="179"/>
      <c r="M155" s="166"/>
      <c r="N155" s="166"/>
      <c r="O155" s="166"/>
      <c r="P155" s="166"/>
      <c r="Q155" s="167"/>
      <c r="R155" s="167"/>
      <c r="S155" s="168"/>
      <c r="V155" s="144">
        <f t="shared" si="42"/>
        <v>0</v>
      </c>
      <c r="W155" s="144">
        <f t="shared" si="43"/>
        <v>0</v>
      </c>
      <c r="X155" s="144">
        <f t="shared" si="35"/>
        <v>0</v>
      </c>
      <c r="Y155" s="144">
        <f t="shared" si="44"/>
        <v>31.779800000000002</v>
      </c>
      <c r="Z155" s="169">
        <f t="shared" si="36"/>
        <v>0</v>
      </c>
      <c r="AA155" s="274">
        <f t="shared" si="37"/>
        <v>0</v>
      </c>
      <c r="AB155" s="169">
        <f t="shared" si="45"/>
        <v>0</v>
      </c>
      <c r="AC155" s="274">
        <f t="shared" si="38"/>
        <v>0</v>
      </c>
      <c r="AD155" s="169">
        <f t="shared" si="39"/>
        <v>0</v>
      </c>
      <c r="AE155" s="274">
        <f t="shared" si="40"/>
        <v>0</v>
      </c>
      <c r="AF155" s="169">
        <f t="shared" si="46"/>
        <v>0</v>
      </c>
      <c r="AG155" s="274">
        <f t="shared" si="41"/>
        <v>0</v>
      </c>
      <c r="AH155" s="169">
        <f t="shared" si="47"/>
        <v>0</v>
      </c>
      <c r="AI155" s="169"/>
      <c r="AJ155" s="169">
        <f t="shared" si="48"/>
        <v>0</v>
      </c>
      <c r="AK155" s="169">
        <f t="shared" si="49"/>
        <v>0</v>
      </c>
      <c r="AL155" s="169"/>
      <c r="AM155" s="169"/>
      <c r="AN155" s="169"/>
      <c r="AQ155" s="169"/>
      <c r="AW155" s="144">
        <f t="shared" si="50"/>
        <v>0</v>
      </c>
    </row>
    <row r="156" spans="1:49" ht="9.75" thickBot="1">
      <c r="A156" s="175"/>
      <c r="B156" s="176"/>
      <c r="C156" s="176"/>
      <c r="D156" s="170" t="str">
        <f t="shared" si="34"/>
        <v xml:space="preserve"> </v>
      </c>
      <c r="E156" s="178"/>
      <c r="F156" s="288">
        <v>0</v>
      </c>
      <c r="G156" s="178">
        <v>37</v>
      </c>
      <c r="H156" s="178">
        <v>37</v>
      </c>
      <c r="I156" s="178"/>
      <c r="J156" s="180"/>
      <c r="K156" s="178"/>
      <c r="L156" s="180"/>
      <c r="M156" s="180"/>
      <c r="N156" s="178"/>
      <c r="O156" s="178"/>
      <c r="P156" s="178"/>
      <c r="Q156" s="171">
        <f>AS156</f>
        <v>0</v>
      </c>
      <c r="R156" s="171">
        <f>AT156</f>
        <v>0</v>
      </c>
      <c r="S156" s="172">
        <f>AU156</f>
        <v>0</v>
      </c>
      <c r="U156" s="144">
        <f>IF(OR(C155=5,C156=5),0,1)</f>
        <v>1</v>
      </c>
      <c r="V156" s="144">
        <f t="shared" si="42"/>
        <v>0</v>
      </c>
      <c r="W156" s="144">
        <f t="shared" si="43"/>
        <v>0</v>
      </c>
      <c r="X156" s="144">
        <f t="shared" si="35"/>
        <v>0</v>
      </c>
      <c r="Y156" s="144">
        <f t="shared" si="44"/>
        <v>31.779800000000002</v>
      </c>
      <c r="Z156" s="169">
        <f t="shared" si="36"/>
        <v>0</v>
      </c>
      <c r="AA156" s="274">
        <f t="shared" si="37"/>
        <v>0</v>
      </c>
      <c r="AB156" s="169">
        <f t="shared" si="45"/>
        <v>0</v>
      </c>
      <c r="AC156" s="274">
        <f t="shared" si="38"/>
        <v>0</v>
      </c>
      <c r="AD156" s="169">
        <f t="shared" si="39"/>
        <v>0</v>
      </c>
      <c r="AE156" s="274">
        <f t="shared" si="40"/>
        <v>0</v>
      </c>
      <c r="AF156" s="169">
        <f t="shared" si="46"/>
        <v>0</v>
      </c>
      <c r="AG156" s="274">
        <f t="shared" si="41"/>
        <v>0</v>
      </c>
      <c r="AH156" s="169">
        <f t="shared" si="47"/>
        <v>0</v>
      </c>
      <c r="AI156" s="169"/>
      <c r="AJ156" s="169">
        <f t="shared" si="48"/>
        <v>0</v>
      </c>
      <c r="AK156" s="169">
        <f t="shared" si="49"/>
        <v>0</v>
      </c>
      <c r="AL156" s="169"/>
      <c r="AM156" s="169">
        <f>AK155*W155+AK156*W156</f>
        <v>0</v>
      </c>
      <c r="AN156" s="169">
        <f>(SUM(AD155:AG155)*W155+SUM(AD156:AG156)*W156)*12*VLOOKUP(C156,JNovergang,3,1)</f>
        <v>0</v>
      </c>
      <c r="AO156" s="169">
        <f>AM156-AN156</f>
        <v>0</v>
      </c>
      <c r="AP156" s="169">
        <f>M156*(100+X156)%</f>
        <v>0</v>
      </c>
      <c r="AQ156" s="274">
        <f>ROUND(M156*F156,2)</f>
        <v>0</v>
      </c>
      <c r="AS156" s="274">
        <f>ROUND((AP156+AQ156)+AM156*(N156/12),0)</f>
        <v>0</v>
      </c>
      <c r="AT156" s="274">
        <f>ROUND(AM156*(O156/12),0)</f>
        <v>0</v>
      </c>
      <c r="AU156" s="274">
        <f>ROUND(AM156*(P156/12)*U156,0)</f>
        <v>0</v>
      </c>
      <c r="AW156" s="144">
        <f t="shared" si="50"/>
        <v>0</v>
      </c>
    </row>
    <row r="157" spans="1:49">
      <c r="A157" s="173"/>
      <c r="B157" s="174"/>
      <c r="C157" s="174"/>
      <c r="D157" s="165" t="str">
        <f t="shared" si="34"/>
        <v xml:space="preserve"> </v>
      </c>
      <c r="E157" s="177"/>
      <c r="F157" s="287">
        <v>0</v>
      </c>
      <c r="G157" s="177">
        <v>37</v>
      </c>
      <c r="H157" s="177">
        <v>37</v>
      </c>
      <c r="I157" s="177"/>
      <c r="J157" s="179"/>
      <c r="K157" s="177"/>
      <c r="L157" s="179"/>
      <c r="M157" s="166"/>
      <c r="N157" s="166"/>
      <c r="O157" s="166"/>
      <c r="P157" s="166"/>
      <c r="Q157" s="167"/>
      <c r="R157" s="167"/>
      <c r="S157" s="168"/>
      <c r="V157" s="144">
        <f t="shared" si="42"/>
        <v>0</v>
      </c>
      <c r="W157" s="144">
        <f t="shared" si="43"/>
        <v>0</v>
      </c>
      <c r="X157" s="144">
        <f t="shared" si="35"/>
        <v>0</v>
      </c>
      <c r="Y157" s="144">
        <f t="shared" si="44"/>
        <v>31.779800000000002</v>
      </c>
      <c r="Z157" s="169">
        <f t="shared" si="36"/>
        <v>0</v>
      </c>
      <c r="AA157" s="274">
        <f t="shared" si="37"/>
        <v>0</v>
      </c>
      <c r="AB157" s="169">
        <f t="shared" si="45"/>
        <v>0</v>
      </c>
      <c r="AC157" s="274">
        <f t="shared" si="38"/>
        <v>0</v>
      </c>
      <c r="AD157" s="169">
        <f t="shared" si="39"/>
        <v>0</v>
      </c>
      <c r="AE157" s="274">
        <f t="shared" si="40"/>
        <v>0</v>
      </c>
      <c r="AF157" s="169">
        <f t="shared" si="46"/>
        <v>0</v>
      </c>
      <c r="AG157" s="274">
        <f t="shared" si="41"/>
        <v>0</v>
      </c>
      <c r="AH157" s="169">
        <f t="shared" si="47"/>
        <v>0</v>
      </c>
      <c r="AI157" s="169"/>
      <c r="AJ157" s="169">
        <f t="shared" si="48"/>
        <v>0</v>
      </c>
      <c r="AK157" s="169">
        <f t="shared" si="49"/>
        <v>0</v>
      </c>
      <c r="AL157" s="169"/>
      <c r="AM157" s="169"/>
      <c r="AN157" s="169"/>
      <c r="AQ157" s="169"/>
      <c r="AW157" s="144">
        <f t="shared" si="50"/>
        <v>0</v>
      </c>
    </row>
    <row r="158" spans="1:49" ht="9.75" thickBot="1">
      <c r="A158" s="175"/>
      <c r="B158" s="176"/>
      <c r="C158" s="176"/>
      <c r="D158" s="170" t="str">
        <f t="shared" si="34"/>
        <v xml:space="preserve"> </v>
      </c>
      <c r="E158" s="178"/>
      <c r="F158" s="288">
        <v>0</v>
      </c>
      <c r="G158" s="178">
        <v>37</v>
      </c>
      <c r="H158" s="178">
        <v>37</v>
      </c>
      <c r="I158" s="178"/>
      <c r="J158" s="180"/>
      <c r="K158" s="178"/>
      <c r="L158" s="180"/>
      <c r="M158" s="180"/>
      <c r="N158" s="178"/>
      <c r="O158" s="178"/>
      <c r="P158" s="178"/>
      <c r="Q158" s="171">
        <f>AS158</f>
        <v>0</v>
      </c>
      <c r="R158" s="171">
        <f>AT158</f>
        <v>0</v>
      </c>
      <c r="S158" s="172">
        <f>AU158</f>
        <v>0</v>
      </c>
      <c r="U158" s="144">
        <f>IF(OR(C157=5,C158=5),0,1)</f>
        <v>1</v>
      </c>
      <c r="V158" s="144">
        <f t="shared" si="42"/>
        <v>0</v>
      </c>
      <c r="W158" s="144">
        <f t="shared" si="43"/>
        <v>0</v>
      </c>
      <c r="X158" s="144">
        <f t="shared" si="35"/>
        <v>0</v>
      </c>
      <c r="Y158" s="144">
        <f t="shared" si="44"/>
        <v>31.779800000000002</v>
      </c>
      <c r="Z158" s="169">
        <f t="shared" si="36"/>
        <v>0</v>
      </c>
      <c r="AA158" s="274">
        <f t="shared" si="37"/>
        <v>0</v>
      </c>
      <c r="AB158" s="169">
        <f t="shared" si="45"/>
        <v>0</v>
      </c>
      <c r="AC158" s="274">
        <f t="shared" si="38"/>
        <v>0</v>
      </c>
      <c r="AD158" s="169">
        <f t="shared" si="39"/>
        <v>0</v>
      </c>
      <c r="AE158" s="274">
        <f t="shared" si="40"/>
        <v>0</v>
      </c>
      <c r="AF158" s="169">
        <f t="shared" si="46"/>
        <v>0</v>
      </c>
      <c r="AG158" s="274">
        <f t="shared" si="41"/>
        <v>0</v>
      </c>
      <c r="AH158" s="169">
        <f t="shared" si="47"/>
        <v>0</v>
      </c>
      <c r="AI158" s="169"/>
      <c r="AJ158" s="169">
        <f t="shared" si="48"/>
        <v>0</v>
      </c>
      <c r="AK158" s="169">
        <f t="shared" si="49"/>
        <v>0</v>
      </c>
      <c r="AL158" s="169"/>
      <c r="AM158" s="169">
        <f>AK157*W157+AK158*W158</f>
        <v>0</v>
      </c>
      <c r="AN158" s="169">
        <f>(SUM(AD157:AG157)*W157+SUM(AD158:AG158)*W158)*12*VLOOKUP(C158,JNovergang,3,1)</f>
        <v>0</v>
      </c>
      <c r="AO158" s="169">
        <f>AM158-AN158</f>
        <v>0</v>
      </c>
      <c r="AP158" s="169">
        <f>M158*(100+X158)%</f>
        <v>0</v>
      </c>
      <c r="AQ158" s="274">
        <f>ROUND(M158*F158,2)</f>
        <v>0</v>
      </c>
      <c r="AS158" s="274">
        <f>ROUND((AP158+AQ158)+AM158*(N158/12),0)</f>
        <v>0</v>
      </c>
      <c r="AT158" s="274">
        <f>ROUND(AM158*(O158/12),0)</f>
        <v>0</v>
      </c>
      <c r="AU158" s="274">
        <f>ROUND(AM158*(P158/12)*U158,0)</f>
        <v>0</v>
      </c>
      <c r="AW158" s="144">
        <f t="shared" si="50"/>
        <v>0</v>
      </c>
    </row>
    <row r="159" spans="1:49">
      <c r="A159" s="173"/>
      <c r="B159" s="174"/>
      <c r="C159" s="174"/>
      <c r="D159" s="165" t="str">
        <f t="shared" si="34"/>
        <v xml:space="preserve"> </v>
      </c>
      <c r="E159" s="177"/>
      <c r="F159" s="287">
        <v>0</v>
      </c>
      <c r="G159" s="177">
        <v>37</v>
      </c>
      <c r="H159" s="177">
        <v>37</v>
      </c>
      <c r="I159" s="177"/>
      <c r="J159" s="179"/>
      <c r="K159" s="177"/>
      <c r="L159" s="179"/>
      <c r="M159" s="166"/>
      <c r="N159" s="166"/>
      <c r="O159" s="166"/>
      <c r="P159" s="166"/>
      <c r="Q159" s="167"/>
      <c r="R159" s="167"/>
      <c r="S159" s="168"/>
      <c r="V159" s="144">
        <f t="shared" si="42"/>
        <v>0</v>
      </c>
      <c r="W159" s="144">
        <f t="shared" si="43"/>
        <v>0</v>
      </c>
      <c r="X159" s="144">
        <f t="shared" si="35"/>
        <v>0</v>
      </c>
      <c r="Y159" s="144">
        <f t="shared" si="44"/>
        <v>31.779800000000002</v>
      </c>
      <c r="Z159" s="169">
        <f t="shared" si="36"/>
        <v>0</v>
      </c>
      <c r="AA159" s="274">
        <f t="shared" si="37"/>
        <v>0</v>
      </c>
      <c r="AB159" s="169">
        <f t="shared" si="45"/>
        <v>0</v>
      </c>
      <c r="AC159" s="274">
        <f t="shared" si="38"/>
        <v>0</v>
      </c>
      <c r="AD159" s="169">
        <f t="shared" si="39"/>
        <v>0</v>
      </c>
      <c r="AE159" s="274">
        <f t="shared" si="40"/>
        <v>0</v>
      </c>
      <c r="AF159" s="169">
        <f t="shared" si="46"/>
        <v>0</v>
      </c>
      <c r="AG159" s="274">
        <f t="shared" si="41"/>
        <v>0</v>
      </c>
      <c r="AH159" s="169">
        <f t="shared" si="47"/>
        <v>0</v>
      </c>
      <c r="AI159" s="169"/>
      <c r="AJ159" s="169">
        <f t="shared" si="48"/>
        <v>0</v>
      </c>
      <c r="AK159" s="169">
        <f t="shared" si="49"/>
        <v>0</v>
      </c>
      <c r="AL159" s="169"/>
      <c r="AM159" s="169"/>
      <c r="AN159" s="169"/>
      <c r="AQ159" s="169"/>
      <c r="AW159" s="144">
        <f t="shared" si="50"/>
        <v>0</v>
      </c>
    </row>
    <row r="160" spans="1:49" ht="9.75" thickBot="1">
      <c r="A160" s="175"/>
      <c r="B160" s="176"/>
      <c r="C160" s="176"/>
      <c r="D160" s="170" t="str">
        <f t="shared" si="34"/>
        <v xml:space="preserve"> </v>
      </c>
      <c r="E160" s="178"/>
      <c r="F160" s="288">
        <v>0</v>
      </c>
      <c r="G160" s="178">
        <v>37</v>
      </c>
      <c r="H160" s="178">
        <v>37</v>
      </c>
      <c r="I160" s="178"/>
      <c r="J160" s="180"/>
      <c r="K160" s="178"/>
      <c r="L160" s="180"/>
      <c r="M160" s="180"/>
      <c r="N160" s="178"/>
      <c r="O160" s="178"/>
      <c r="P160" s="178"/>
      <c r="Q160" s="171">
        <f>AS160</f>
        <v>0</v>
      </c>
      <c r="R160" s="171">
        <f>AT160</f>
        <v>0</v>
      </c>
      <c r="S160" s="172">
        <f>AU160</f>
        <v>0</v>
      </c>
      <c r="U160" s="144">
        <f>IF(OR(C159=5,C160=5),0,1)</f>
        <v>1</v>
      </c>
      <c r="V160" s="144">
        <f t="shared" si="42"/>
        <v>0</v>
      </c>
      <c r="W160" s="144">
        <f t="shared" si="43"/>
        <v>0</v>
      </c>
      <c r="X160" s="144">
        <f t="shared" si="35"/>
        <v>0</v>
      </c>
      <c r="Y160" s="144">
        <f t="shared" si="44"/>
        <v>31.779800000000002</v>
      </c>
      <c r="Z160" s="169">
        <f t="shared" si="36"/>
        <v>0</v>
      </c>
      <c r="AA160" s="274">
        <f t="shared" si="37"/>
        <v>0</v>
      </c>
      <c r="AB160" s="169">
        <f t="shared" si="45"/>
        <v>0</v>
      </c>
      <c r="AC160" s="274">
        <f t="shared" si="38"/>
        <v>0</v>
      </c>
      <c r="AD160" s="169">
        <f t="shared" si="39"/>
        <v>0</v>
      </c>
      <c r="AE160" s="274">
        <f t="shared" si="40"/>
        <v>0</v>
      </c>
      <c r="AF160" s="169">
        <f t="shared" si="46"/>
        <v>0</v>
      </c>
      <c r="AG160" s="274">
        <f t="shared" si="41"/>
        <v>0</v>
      </c>
      <c r="AH160" s="169">
        <f t="shared" si="47"/>
        <v>0</v>
      </c>
      <c r="AI160" s="169"/>
      <c r="AJ160" s="169">
        <f t="shared" si="48"/>
        <v>0</v>
      </c>
      <c r="AK160" s="169">
        <f t="shared" si="49"/>
        <v>0</v>
      </c>
      <c r="AL160" s="169"/>
      <c r="AM160" s="169">
        <f>AK159*W159+AK160*W160</f>
        <v>0</v>
      </c>
      <c r="AN160" s="169">
        <f>(SUM(AD159:AG159)*W159+SUM(AD160:AG160)*W160)*12*VLOOKUP(C160,JNovergang,3,1)</f>
        <v>0</v>
      </c>
      <c r="AO160" s="169">
        <f>AM160-AN160</f>
        <v>0</v>
      </c>
      <c r="AP160" s="169">
        <f>M160*(100+X160)%</f>
        <v>0</v>
      </c>
      <c r="AQ160" s="274">
        <f>ROUND(M160*F160,2)</f>
        <v>0</v>
      </c>
      <c r="AS160" s="274">
        <f>ROUND((AP160+AQ160)+AM160*(N160/12),0)</f>
        <v>0</v>
      </c>
      <c r="AT160" s="274">
        <f>ROUND(AM160*(O160/12),0)</f>
        <v>0</v>
      </c>
      <c r="AU160" s="274">
        <f>ROUND(AM160*(P160/12)*U160,0)</f>
        <v>0</v>
      </c>
      <c r="AW160" s="144">
        <f t="shared" si="50"/>
        <v>0</v>
      </c>
    </row>
    <row r="161" spans="1:49">
      <c r="A161" s="173"/>
      <c r="B161" s="174"/>
      <c r="C161" s="174"/>
      <c r="D161" s="165" t="str">
        <f t="shared" si="34"/>
        <v xml:space="preserve"> </v>
      </c>
      <c r="E161" s="177"/>
      <c r="F161" s="287">
        <v>0</v>
      </c>
      <c r="G161" s="177">
        <v>37</v>
      </c>
      <c r="H161" s="177">
        <v>37</v>
      </c>
      <c r="I161" s="177"/>
      <c r="J161" s="179"/>
      <c r="K161" s="177"/>
      <c r="L161" s="179"/>
      <c r="M161" s="166"/>
      <c r="N161" s="166"/>
      <c r="O161" s="166"/>
      <c r="P161" s="166"/>
      <c r="Q161" s="167"/>
      <c r="R161" s="167"/>
      <c r="S161" s="168"/>
      <c r="V161" s="144">
        <f t="shared" si="42"/>
        <v>0</v>
      </c>
      <c r="W161" s="144">
        <f t="shared" si="43"/>
        <v>0</v>
      </c>
      <c r="X161" s="144">
        <f t="shared" si="35"/>
        <v>0</v>
      </c>
      <c r="Y161" s="144">
        <f t="shared" si="44"/>
        <v>31.779800000000002</v>
      </c>
      <c r="Z161" s="169">
        <f t="shared" si="36"/>
        <v>0</v>
      </c>
      <c r="AA161" s="274">
        <f t="shared" si="37"/>
        <v>0</v>
      </c>
      <c r="AB161" s="169">
        <f t="shared" si="45"/>
        <v>0</v>
      </c>
      <c r="AC161" s="274">
        <f t="shared" si="38"/>
        <v>0</v>
      </c>
      <c r="AD161" s="169">
        <f t="shared" si="39"/>
        <v>0</v>
      </c>
      <c r="AE161" s="274">
        <f t="shared" si="40"/>
        <v>0</v>
      </c>
      <c r="AF161" s="169">
        <f t="shared" si="46"/>
        <v>0</v>
      </c>
      <c r="AG161" s="274">
        <f t="shared" si="41"/>
        <v>0</v>
      </c>
      <c r="AH161" s="169">
        <f t="shared" si="47"/>
        <v>0</v>
      </c>
      <c r="AI161" s="169"/>
      <c r="AJ161" s="169">
        <f t="shared" si="48"/>
        <v>0</v>
      </c>
      <c r="AK161" s="169">
        <f t="shared" si="49"/>
        <v>0</v>
      </c>
      <c r="AL161" s="169"/>
      <c r="AM161" s="169"/>
      <c r="AN161" s="169"/>
      <c r="AQ161" s="169"/>
      <c r="AW161" s="144">
        <f t="shared" si="50"/>
        <v>0</v>
      </c>
    </row>
    <row r="162" spans="1:49" ht="9.75" thickBot="1">
      <c r="A162" s="175"/>
      <c r="B162" s="176"/>
      <c r="C162" s="176"/>
      <c r="D162" s="170" t="str">
        <f t="shared" si="34"/>
        <v xml:space="preserve"> </v>
      </c>
      <c r="E162" s="178"/>
      <c r="F162" s="288">
        <v>0</v>
      </c>
      <c r="G162" s="178">
        <v>37</v>
      </c>
      <c r="H162" s="178">
        <v>37</v>
      </c>
      <c r="I162" s="178"/>
      <c r="J162" s="180"/>
      <c r="K162" s="178"/>
      <c r="L162" s="180"/>
      <c r="M162" s="180"/>
      <c r="N162" s="178"/>
      <c r="O162" s="178"/>
      <c r="P162" s="178"/>
      <c r="Q162" s="171">
        <f>AS162</f>
        <v>0</v>
      </c>
      <c r="R162" s="171">
        <f>AT162</f>
        <v>0</v>
      </c>
      <c r="S162" s="172">
        <f>AU162</f>
        <v>0</v>
      </c>
      <c r="U162" s="144">
        <f>IF(OR(C161=5,C162=5),0,1)</f>
        <v>1</v>
      </c>
      <c r="V162" s="144">
        <f t="shared" si="42"/>
        <v>0</v>
      </c>
      <c r="W162" s="144">
        <f t="shared" si="43"/>
        <v>0</v>
      </c>
      <c r="X162" s="144">
        <f t="shared" si="35"/>
        <v>0</v>
      </c>
      <c r="Y162" s="144">
        <f t="shared" si="44"/>
        <v>31.779800000000002</v>
      </c>
      <c r="Z162" s="169">
        <f t="shared" si="36"/>
        <v>0</v>
      </c>
      <c r="AA162" s="274">
        <f t="shared" si="37"/>
        <v>0</v>
      </c>
      <c r="AB162" s="169">
        <f t="shared" si="45"/>
        <v>0</v>
      </c>
      <c r="AC162" s="274">
        <f t="shared" si="38"/>
        <v>0</v>
      </c>
      <c r="AD162" s="169">
        <f t="shared" si="39"/>
        <v>0</v>
      </c>
      <c r="AE162" s="274">
        <f t="shared" si="40"/>
        <v>0</v>
      </c>
      <c r="AF162" s="169">
        <f t="shared" si="46"/>
        <v>0</v>
      </c>
      <c r="AG162" s="274">
        <f t="shared" si="41"/>
        <v>0</v>
      </c>
      <c r="AH162" s="169">
        <f t="shared" si="47"/>
        <v>0</v>
      </c>
      <c r="AI162" s="169"/>
      <c r="AJ162" s="169">
        <f t="shared" si="48"/>
        <v>0</v>
      </c>
      <c r="AK162" s="169">
        <f t="shared" si="49"/>
        <v>0</v>
      </c>
      <c r="AL162" s="169"/>
      <c r="AM162" s="169">
        <f>AK161*W161+AK162*W162</f>
        <v>0</v>
      </c>
      <c r="AN162" s="169">
        <f>(SUM(AD161:AG161)*W161+SUM(AD162:AG162)*W162)*12*VLOOKUP(C162,JNovergang,3,1)</f>
        <v>0</v>
      </c>
      <c r="AO162" s="169">
        <f>AM162-AN162</f>
        <v>0</v>
      </c>
      <c r="AP162" s="169">
        <f>M162*(100+X162)%</f>
        <v>0</v>
      </c>
      <c r="AQ162" s="274">
        <f>ROUND(M162*F162,2)</f>
        <v>0</v>
      </c>
      <c r="AS162" s="274">
        <f>ROUND((AP162+AQ162)+AM162*(N162/12),0)</f>
        <v>0</v>
      </c>
      <c r="AT162" s="274">
        <f>ROUND(AM162*(O162/12),0)</f>
        <v>0</v>
      </c>
      <c r="AU162" s="274">
        <f>ROUND(AM162*(P162/12)*U162,0)</f>
        <v>0</v>
      </c>
      <c r="AW162" s="144">
        <f t="shared" si="50"/>
        <v>0</v>
      </c>
    </row>
    <row r="163" spans="1:49">
      <c r="A163" s="173"/>
      <c r="B163" s="174"/>
      <c r="C163" s="174"/>
      <c r="D163" s="165" t="str">
        <f t="shared" si="34"/>
        <v xml:space="preserve"> </v>
      </c>
      <c r="E163" s="177"/>
      <c r="F163" s="287">
        <v>0</v>
      </c>
      <c r="G163" s="177">
        <v>37</v>
      </c>
      <c r="H163" s="177">
        <v>37</v>
      </c>
      <c r="I163" s="177"/>
      <c r="J163" s="179"/>
      <c r="K163" s="177"/>
      <c r="L163" s="179"/>
      <c r="M163" s="166"/>
      <c r="N163" s="166"/>
      <c r="O163" s="166"/>
      <c r="P163" s="166"/>
      <c r="Q163" s="167"/>
      <c r="R163" s="167"/>
      <c r="S163" s="168"/>
      <c r="V163" s="144">
        <f t="shared" si="42"/>
        <v>0</v>
      </c>
      <c r="W163" s="144">
        <f t="shared" si="43"/>
        <v>0</v>
      </c>
      <c r="X163" s="144">
        <f t="shared" si="35"/>
        <v>0</v>
      </c>
      <c r="Y163" s="144">
        <f t="shared" si="44"/>
        <v>31.779800000000002</v>
      </c>
      <c r="Z163" s="169">
        <f t="shared" si="36"/>
        <v>0</v>
      </c>
      <c r="AA163" s="274">
        <f t="shared" si="37"/>
        <v>0</v>
      </c>
      <c r="AB163" s="169">
        <f t="shared" si="45"/>
        <v>0</v>
      </c>
      <c r="AC163" s="274">
        <f t="shared" si="38"/>
        <v>0</v>
      </c>
      <c r="AD163" s="169">
        <f t="shared" si="39"/>
        <v>0</v>
      </c>
      <c r="AE163" s="274">
        <f t="shared" si="40"/>
        <v>0</v>
      </c>
      <c r="AF163" s="169">
        <f t="shared" si="46"/>
        <v>0</v>
      </c>
      <c r="AG163" s="274">
        <f t="shared" si="41"/>
        <v>0</v>
      </c>
      <c r="AH163" s="169">
        <f t="shared" si="47"/>
        <v>0</v>
      </c>
      <c r="AI163" s="169"/>
      <c r="AJ163" s="169">
        <f t="shared" si="48"/>
        <v>0</v>
      </c>
      <c r="AK163" s="169">
        <f t="shared" si="49"/>
        <v>0</v>
      </c>
      <c r="AL163" s="169"/>
      <c r="AM163" s="169"/>
      <c r="AN163" s="169"/>
      <c r="AQ163" s="169"/>
      <c r="AW163" s="144">
        <f t="shared" si="50"/>
        <v>0</v>
      </c>
    </row>
    <row r="164" spans="1:49" ht="9.75" thickBot="1">
      <c r="A164" s="175"/>
      <c r="B164" s="176"/>
      <c r="C164" s="176"/>
      <c r="D164" s="170" t="str">
        <f t="shared" si="34"/>
        <v xml:space="preserve"> </v>
      </c>
      <c r="E164" s="178"/>
      <c r="F164" s="288">
        <v>0</v>
      </c>
      <c r="G164" s="178">
        <v>37</v>
      </c>
      <c r="H164" s="178">
        <v>37</v>
      </c>
      <c r="I164" s="178"/>
      <c r="J164" s="180"/>
      <c r="K164" s="178"/>
      <c r="L164" s="180"/>
      <c r="M164" s="180"/>
      <c r="N164" s="178"/>
      <c r="O164" s="178"/>
      <c r="P164" s="178"/>
      <c r="Q164" s="171">
        <f>AS164</f>
        <v>0</v>
      </c>
      <c r="R164" s="171">
        <f>AT164</f>
        <v>0</v>
      </c>
      <c r="S164" s="172">
        <f>AU164</f>
        <v>0</v>
      </c>
      <c r="U164" s="144">
        <f>IF(OR(C163=5,C164=5),0,1)</f>
        <v>1</v>
      </c>
      <c r="V164" s="144">
        <f t="shared" si="42"/>
        <v>0</v>
      </c>
      <c r="W164" s="144">
        <f t="shared" si="43"/>
        <v>0</v>
      </c>
      <c r="X164" s="144">
        <f t="shared" si="35"/>
        <v>0</v>
      </c>
      <c r="Y164" s="144">
        <f t="shared" si="44"/>
        <v>31.779800000000002</v>
      </c>
      <c r="Z164" s="169">
        <f t="shared" si="36"/>
        <v>0</v>
      </c>
      <c r="AA164" s="274">
        <f t="shared" si="37"/>
        <v>0</v>
      </c>
      <c r="AB164" s="169">
        <f t="shared" si="45"/>
        <v>0</v>
      </c>
      <c r="AC164" s="274">
        <f t="shared" si="38"/>
        <v>0</v>
      </c>
      <c r="AD164" s="169">
        <f t="shared" si="39"/>
        <v>0</v>
      </c>
      <c r="AE164" s="274">
        <f t="shared" si="40"/>
        <v>0</v>
      </c>
      <c r="AF164" s="169">
        <f t="shared" si="46"/>
        <v>0</v>
      </c>
      <c r="AG164" s="274">
        <f t="shared" si="41"/>
        <v>0</v>
      </c>
      <c r="AH164" s="169">
        <f t="shared" si="47"/>
        <v>0</v>
      </c>
      <c r="AI164" s="169"/>
      <c r="AJ164" s="169">
        <f t="shared" si="48"/>
        <v>0</v>
      </c>
      <c r="AK164" s="169">
        <f t="shared" si="49"/>
        <v>0</v>
      </c>
      <c r="AL164" s="169"/>
      <c r="AM164" s="169">
        <f>AK163*W163+AK164*W164</f>
        <v>0</v>
      </c>
      <c r="AN164" s="169">
        <f>(SUM(AD163:AG163)*W163+SUM(AD164:AG164)*W164)*12*VLOOKUP(C164,JNovergang,3,1)</f>
        <v>0</v>
      </c>
      <c r="AO164" s="169">
        <f>AM164-AN164</f>
        <v>0</v>
      </c>
      <c r="AP164" s="169">
        <f>M164*(100+X164)%</f>
        <v>0</v>
      </c>
      <c r="AQ164" s="274">
        <f>ROUND(M164*F164,2)</f>
        <v>0</v>
      </c>
      <c r="AS164" s="274">
        <f>ROUND((AP164+AQ164)+AM164*(N164/12),0)</f>
        <v>0</v>
      </c>
      <c r="AT164" s="274">
        <f>ROUND(AM164*(O164/12),0)</f>
        <v>0</v>
      </c>
      <c r="AU164" s="274">
        <f>ROUND(AM164*(P164/12)*U164,0)</f>
        <v>0</v>
      </c>
      <c r="AW164" s="144">
        <f t="shared" si="50"/>
        <v>0</v>
      </c>
    </row>
    <row r="165" spans="1:49">
      <c r="A165" s="173"/>
      <c r="B165" s="174"/>
      <c r="C165" s="174"/>
      <c r="D165" s="165" t="str">
        <f t="shared" si="34"/>
        <v xml:space="preserve"> </v>
      </c>
      <c r="E165" s="177"/>
      <c r="F165" s="287">
        <v>0</v>
      </c>
      <c r="G165" s="177">
        <v>37</v>
      </c>
      <c r="H165" s="177">
        <v>37</v>
      </c>
      <c r="I165" s="177"/>
      <c r="J165" s="179"/>
      <c r="K165" s="177"/>
      <c r="L165" s="179"/>
      <c r="M165" s="166"/>
      <c r="N165" s="166"/>
      <c r="O165" s="166"/>
      <c r="P165" s="166"/>
      <c r="Q165" s="167"/>
      <c r="R165" s="167"/>
      <c r="S165" s="168"/>
      <c r="V165" s="144">
        <f t="shared" si="42"/>
        <v>0</v>
      </c>
      <c r="W165" s="144">
        <f t="shared" si="43"/>
        <v>0</v>
      </c>
      <c r="X165" s="144">
        <f t="shared" si="35"/>
        <v>0</v>
      </c>
      <c r="Y165" s="144">
        <f t="shared" si="44"/>
        <v>31.779800000000002</v>
      </c>
      <c r="Z165" s="169">
        <f t="shared" si="36"/>
        <v>0</v>
      </c>
      <c r="AA165" s="274">
        <f t="shared" si="37"/>
        <v>0</v>
      </c>
      <c r="AB165" s="169">
        <f t="shared" si="45"/>
        <v>0</v>
      </c>
      <c r="AC165" s="274">
        <f t="shared" si="38"/>
        <v>0</v>
      </c>
      <c r="AD165" s="169">
        <f t="shared" si="39"/>
        <v>0</v>
      </c>
      <c r="AE165" s="274">
        <f t="shared" si="40"/>
        <v>0</v>
      </c>
      <c r="AF165" s="169">
        <f t="shared" si="46"/>
        <v>0</v>
      </c>
      <c r="AG165" s="274">
        <f t="shared" si="41"/>
        <v>0</v>
      </c>
      <c r="AH165" s="169">
        <f t="shared" si="47"/>
        <v>0</v>
      </c>
      <c r="AI165" s="169"/>
      <c r="AJ165" s="169">
        <f t="shared" si="48"/>
        <v>0</v>
      </c>
      <c r="AK165" s="169">
        <f t="shared" si="49"/>
        <v>0</v>
      </c>
      <c r="AL165" s="169"/>
      <c r="AM165" s="169"/>
      <c r="AN165" s="169"/>
      <c r="AQ165" s="169"/>
      <c r="AW165" s="144">
        <f t="shared" si="50"/>
        <v>0</v>
      </c>
    </row>
    <row r="166" spans="1:49" ht="9.75" thickBot="1">
      <c r="A166" s="175"/>
      <c r="B166" s="176"/>
      <c r="C166" s="176"/>
      <c r="D166" s="170" t="str">
        <f t="shared" si="34"/>
        <v xml:space="preserve"> </v>
      </c>
      <c r="E166" s="178"/>
      <c r="F166" s="288">
        <v>0</v>
      </c>
      <c r="G166" s="178">
        <v>37</v>
      </c>
      <c r="H166" s="178">
        <v>37</v>
      </c>
      <c r="I166" s="178"/>
      <c r="J166" s="180"/>
      <c r="K166" s="178"/>
      <c r="L166" s="180"/>
      <c r="M166" s="180"/>
      <c r="N166" s="178"/>
      <c r="O166" s="178"/>
      <c r="P166" s="178"/>
      <c r="Q166" s="171">
        <f>AS166</f>
        <v>0</v>
      </c>
      <c r="R166" s="171">
        <f>AT166</f>
        <v>0</v>
      </c>
      <c r="S166" s="172">
        <f>AU166</f>
        <v>0</v>
      </c>
      <c r="U166" s="144">
        <f>IF(OR(C165=5,C166=5),0,1)</f>
        <v>1</v>
      </c>
      <c r="V166" s="144">
        <f t="shared" si="42"/>
        <v>0</v>
      </c>
      <c r="W166" s="144">
        <f t="shared" si="43"/>
        <v>0</v>
      </c>
      <c r="X166" s="144">
        <f t="shared" si="35"/>
        <v>0</v>
      </c>
      <c r="Y166" s="144">
        <f t="shared" si="44"/>
        <v>31.779800000000002</v>
      </c>
      <c r="Z166" s="169">
        <f t="shared" si="36"/>
        <v>0</v>
      </c>
      <c r="AA166" s="274">
        <f t="shared" si="37"/>
        <v>0</v>
      </c>
      <c r="AB166" s="169">
        <f t="shared" si="45"/>
        <v>0</v>
      </c>
      <c r="AC166" s="274">
        <f t="shared" si="38"/>
        <v>0</v>
      </c>
      <c r="AD166" s="169">
        <f t="shared" si="39"/>
        <v>0</v>
      </c>
      <c r="AE166" s="274">
        <f t="shared" si="40"/>
        <v>0</v>
      </c>
      <c r="AF166" s="169">
        <f t="shared" si="46"/>
        <v>0</v>
      </c>
      <c r="AG166" s="274">
        <f t="shared" si="41"/>
        <v>0</v>
      </c>
      <c r="AH166" s="169">
        <f t="shared" si="47"/>
        <v>0</v>
      </c>
      <c r="AI166" s="169"/>
      <c r="AJ166" s="169">
        <f t="shared" si="48"/>
        <v>0</v>
      </c>
      <c r="AK166" s="169">
        <f t="shared" si="49"/>
        <v>0</v>
      </c>
      <c r="AL166" s="169"/>
      <c r="AM166" s="169">
        <f>AK165*W165+AK166*W166</f>
        <v>0</v>
      </c>
      <c r="AN166" s="169">
        <f>(SUM(AD165:AG165)*W165+SUM(AD166:AG166)*W166)*12*VLOOKUP(C166,JNovergang,3,1)</f>
        <v>0</v>
      </c>
      <c r="AO166" s="169">
        <f>AM166-AN166</f>
        <v>0</v>
      </c>
      <c r="AP166" s="169">
        <f>M166*(100+X166)%</f>
        <v>0</v>
      </c>
      <c r="AQ166" s="274">
        <f>ROUND(M166*F166,2)</f>
        <v>0</v>
      </c>
      <c r="AS166" s="274">
        <f>ROUND((AP166+AQ166)+AM166*(N166/12),0)</f>
        <v>0</v>
      </c>
      <c r="AT166" s="274">
        <f>ROUND(AM166*(O166/12),0)</f>
        <v>0</v>
      </c>
      <c r="AU166" s="274">
        <f>ROUND(AM166*(P166/12)*U166,0)</f>
        <v>0</v>
      </c>
      <c r="AW166" s="144">
        <f t="shared" si="50"/>
        <v>0</v>
      </c>
    </row>
    <row r="167" spans="1:49">
      <c r="A167" s="173"/>
      <c r="B167" s="174"/>
      <c r="C167" s="174"/>
      <c r="D167" s="165" t="str">
        <f t="shared" si="34"/>
        <v xml:space="preserve"> </v>
      </c>
      <c r="E167" s="177"/>
      <c r="F167" s="287">
        <v>0</v>
      </c>
      <c r="G167" s="177">
        <v>37</v>
      </c>
      <c r="H167" s="177">
        <v>37</v>
      </c>
      <c r="I167" s="177"/>
      <c r="J167" s="179"/>
      <c r="K167" s="177"/>
      <c r="L167" s="179"/>
      <c r="M167" s="166"/>
      <c r="N167" s="166"/>
      <c r="O167" s="166"/>
      <c r="P167" s="166"/>
      <c r="Q167" s="167"/>
      <c r="R167" s="167"/>
      <c r="S167" s="168"/>
      <c r="V167" s="144">
        <f t="shared" si="42"/>
        <v>0</v>
      </c>
      <c r="W167" s="144">
        <f t="shared" si="43"/>
        <v>0</v>
      </c>
      <c r="X167" s="144">
        <f t="shared" si="35"/>
        <v>0</v>
      </c>
      <c r="Y167" s="144">
        <f t="shared" si="44"/>
        <v>31.779800000000002</v>
      </c>
      <c r="Z167" s="169">
        <f t="shared" si="36"/>
        <v>0</v>
      </c>
      <c r="AA167" s="274">
        <f t="shared" si="37"/>
        <v>0</v>
      </c>
      <c r="AB167" s="169">
        <f t="shared" si="45"/>
        <v>0</v>
      </c>
      <c r="AC167" s="274">
        <f t="shared" si="38"/>
        <v>0</v>
      </c>
      <c r="AD167" s="169">
        <f t="shared" si="39"/>
        <v>0</v>
      </c>
      <c r="AE167" s="274">
        <f t="shared" si="40"/>
        <v>0</v>
      </c>
      <c r="AF167" s="169">
        <f t="shared" si="46"/>
        <v>0</v>
      </c>
      <c r="AG167" s="274">
        <f t="shared" si="41"/>
        <v>0</v>
      </c>
      <c r="AH167" s="169">
        <f t="shared" si="47"/>
        <v>0</v>
      </c>
      <c r="AI167" s="169"/>
      <c r="AJ167" s="169">
        <f t="shared" si="48"/>
        <v>0</v>
      </c>
      <c r="AK167" s="169">
        <f t="shared" si="49"/>
        <v>0</v>
      </c>
      <c r="AL167" s="169"/>
      <c r="AM167" s="169"/>
      <c r="AN167" s="169"/>
      <c r="AQ167" s="169"/>
      <c r="AW167" s="144">
        <f t="shared" si="50"/>
        <v>0</v>
      </c>
    </row>
    <row r="168" spans="1:49" ht="9.75" thickBot="1">
      <c r="A168" s="175"/>
      <c r="B168" s="176"/>
      <c r="C168" s="176"/>
      <c r="D168" s="170" t="str">
        <f t="shared" si="34"/>
        <v xml:space="preserve"> </v>
      </c>
      <c r="E168" s="178"/>
      <c r="F168" s="288">
        <v>0</v>
      </c>
      <c r="G168" s="178">
        <v>37</v>
      </c>
      <c r="H168" s="178">
        <v>37</v>
      </c>
      <c r="I168" s="178"/>
      <c r="J168" s="180"/>
      <c r="K168" s="178"/>
      <c r="L168" s="180"/>
      <c r="M168" s="180"/>
      <c r="N168" s="178"/>
      <c r="O168" s="178"/>
      <c r="P168" s="178"/>
      <c r="Q168" s="171">
        <f>AS168</f>
        <v>0</v>
      </c>
      <c r="R168" s="171">
        <f>AT168</f>
        <v>0</v>
      </c>
      <c r="S168" s="172">
        <f>AU168</f>
        <v>0</v>
      </c>
      <c r="U168" s="144">
        <f>IF(OR(C167=5,C168=5),0,1)</f>
        <v>1</v>
      </c>
      <c r="V168" s="144">
        <f t="shared" si="42"/>
        <v>0</v>
      </c>
      <c r="W168" s="144">
        <f t="shared" si="43"/>
        <v>0</v>
      </c>
      <c r="X168" s="144">
        <f t="shared" si="35"/>
        <v>0</v>
      </c>
      <c r="Y168" s="144">
        <f t="shared" si="44"/>
        <v>31.779800000000002</v>
      </c>
      <c r="Z168" s="169">
        <f t="shared" si="36"/>
        <v>0</v>
      </c>
      <c r="AA168" s="274">
        <f t="shared" si="37"/>
        <v>0</v>
      </c>
      <c r="AB168" s="169">
        <f t="shared" si="45"/>
        <v>0</v>
      </c>
      <c r="AC168" s="274">
        <f t="shared" si="38"/>
        <v>0</v>
      </c>
      <c r="AD168" s="169">
        <f t="shared" si="39"/>
        <v>0</v>
      </c>
      <c r="AE168" s="274">
        <f t="shared" si="40"/>
        <v>0</v>
      </c>
      <c r="AF168" s="169">
        <f t="shared" si="46"/>
        <v>0</v>
      </c>
      <c r="AG168" s="274">
        <f t="shared" si="41"/>
        <v>0</v>
      </c>
      <c r="AH168" s="169">
        <f t="shared" si="47"/>
        <v>0</v>
      </c>
      <c r="AI168" s="169"/>
      <c r="AJ168" s="169">
        <f t="shared" si="48"/>
        <v>0</v>
      </c>
      <c r="AK168" s="169">
        <f t="shared" si="49"/>
        <v>0</v>
      </c>
      <c r="AL168" s="169"/>
      <c r="AM168" s="169">
        <f>AK167*W167+AK168*W168</f>
        <v>0</v>
      </c>
      <c r="AN168" s="169">
        <f>(SUM(AD167:AG167)*W167+SUM(AD168:AG168)*W168)*12*VLOOKUP(C168,JNovergang,3,1)</f>
        <v>0</v>
      </c>
      <c r="AO168" s="169">
        <f>AM168-AN168</f>
        <v>0</v>
      </c>
      <c r="AP168" s="169">
        <f>M168*(100+X168)%</f>
        <v>0</v>
      </c>
      <c r="AQ168" s="274">
        <f>ROUND(M168*F168,2)</f>
        <v>0</v>
      </c>
      <c r="AS168" s="274">
        <f>ROUND((AP168+AQ168)+AM168*(N168/12),0)</f>
        <v>0</v>
      </c>
      <c r="AT168" s="274">
        <f>ROUND(AM168*(O168/12),0)</f>
        <v>0</v>
      </c>
      <c r="AU168" s="274">
        <f>ROUND(AM168*(P168/12)*U168,0)</f>
        <v>0</v>
      </c>
      <c r="AW168" s="144">
        <f t="shared" si="50"/>
        <v>0</v>
      </c>
    </row>
    <row r="169" spans="1:49">
      <c r="A169" s="173"/>
      <c r="B169" s="174"/>
      <c r="C169" s="174"/>
      <c r="D169" s="165" t="str">
        <f t="shared" si="34"/>
        <v xml:space="preserve"> </v>
      </c>
      <c r="E169" s="177"/>
      <c r="F169" s="287">
        <v>0</v>
      </c>
      <c r="G169" s="177">
        <v>37</v>
      </c>
      <c r="H169" s="177">
        <v>37</v>
      </c>
      <c r="I169" s="177"/>
      <c r="J169" s="179"/>
      <c r="K169" s="177"/>
      <c r="L169" s="179"/>
      <c r="M169" s="166"/>
      <c r="N169" s="166"/>
      <c r="O169" s="166"/>
      <c r="P169" s="166"/>
      <c r="Q169" s="167"/>
      <c r="R169" s="167"/>
      <c r="S169" s="168"/>
      <c r="V169" s="144">
        <f t="shared" si="42"/>
        <v>0</v>
      </c>
      <c r="W169" s="144">
        <f t="shared" si="43"/>
        <v>0</v>
      </c>
      <c r="X169" s="144">
        <f t="shared" si="35"/>
        <v>0</v>
      </c>
      <c r="Y169" s="144">
        <f t="shared" si="44"/>
        <v>31.779800000000002</v>
      </c>
      <c r="Z169" s="169">
        <f t="shared" si="36"/>
        <v>0</v>
      </c>
      <c r="AA169" s="274">
        <f t="shared" si="37"/>
        <v>0</v>
      </c>
      <c r="AB169" s="169">
        <f t="shared" si="45"/>
        <v>0</v>
      </c>
      <c r="AC169" s="274">
        <f t="shared" si="38"/>
        <v>0</v>
      </c>
      <c r="AD169" s="169">
        <f t="shared" si="39"/>
        <v>0</v>
      </c>
      <c r="AE169" s="274">
        <f t="shared" si="40"/>
        <v>0</v>
      </c>
      <c r="AF169" s="169">
        <f t="shared" si="46"/>
        <v>0</v>
      </c>
      <c r="AG169" s="274">
        <f t="shared" si="41"/>
        <v>0</v>
      </c>
      <c r="AH169" s="169">
        <f t="shared" si="47"/>
        <v>0</v>
      </c>
      <c r="AI169" s="169"/>
      <c r="AJ169" s="169">
        <f t="shared" si="48"/>
        <v>0</v>
      </c>
      <c r="AK169" s="169">
        <f t="shared" si="49"/>
        <v>0</v>
      </c>
      <c r="AL169" s="169"/>
      <c r="AM169" s="169"/>
      <c r="AN169" s="169"/>
      <c r="AQ169" s="169"/>
      <c r="AW169" s="144">
        <f t="shared" si="50"/>
        <v>0</v>
      </c>
    </row>
    <row r="170" spans="1:49" ht="9.75" thickBot="1">
      <c r="A170" s="175"/>
      <c r="B170" s="176"/>
      <c r="C170" s="176"/>
      <c r="D170" s="170" t="str">
        <f t="shared" si="34"/>
        <v xml:space="preserve"> </v>
      </c>
      <c r="E170" s="178"/>
      <c r="F170" s="288">
        <v>0</v>
      </c>
      <c r="G170" s="178">
        <v>37</v>
      </c>
      <c r="H170" s="178">
        <v>37</v>
      </c>
      <c r="I170" s="178"/>
      <c r="J170" s="180"/>
      <c r="K170" s="178"/>
      <c r="L170" s="180"/>
      <c r="M170" s="180"/>
      <c r="N170" s="178"/>
      <c r="O170" s="178"/>
      <c r="P170" s="178"/>
      <c r="Q170" s="171">
        <f>AS170</f>
        <v>0</v>
      </c>
      <c r="R170" s="171">
        <f>AT170</f>
        <v>0</v>
      </c>
      <c r="S170" s="172">
        <f>AU170</f>
        <v>0</v>
      </c>
      <c r="U170" s="144">
        <f>IF(OR(C169=5,C170=5),0,1)</f>
        <v>1</v>
      </c>
      <c r="V170" s="144">
        <f t="shared" si="42"/>
        <v>0</v>
      </c>
      <c r="W170" s="144">
        <f t="shared" si="43"/>
        <v>0</v>
      </c>
      <c r="X170" s="144">
        <f t="shared" si="35"/>
        <v>0</v>
      </c>
      <c r="Y170" s="144">
        <f t="shared" si="44"/>
        <v>31.779800000000002</v>
      </c>
      <c r="Z170" s="169">
        <f t="shared" si="36"/>
        <v>0</v>
      </c>
      <c r="AA170" s="274">
        <f t="shared" si="37"/>
        <v>0</v>
      </c>
      <c r="AB170" s="169">
        <f t="shared" si="45"/>
        <v>0</v>
      </c>
      <c r="AC170" s="274">
        <f t="shared" si="38"/>
        <v>0</v>
      </c>
      <c r="AD170" s="169">
        <f t="shared" si="39"/>
        <v>0</v>
      </c>
      <c r="AE170" s="274">
        <f t="shared" si="40"/>
        <v>0</v>
      </c>
      <c r="AF170" s="169">
        <f t="shared" si="46"/>
        <v>0</v>
      </c>
      <c r="AG170" s="274">
        <f t="shared" si="41"/>
        <v>0</v>
      </c>
      <c r="AH170" s="169">
        <f t="shared" si="47"/>
        <v>0</v>
      </c>
      <c r="AI170" s="169"/>
      <c r="AJ170" s="169">
        <f t="shared" si="48"/>
        <v>0</v>
      </c>
      <c r="AK170" s="169">
        <f t="shared" si="49"/>
        <v>0</v>
      </c>
      <c r="AL170" s="169"/>
      <c r="AM170" s="169">
        <f>AK169*W169+AK170*W170</f>
        <v>0</v>
      </c>
      <c r="AN170" s="169">
        <f>(SUM(AD169:AG169)*W169+SUM(AD170:AG170)*W170)*12*VLOOKUP(C170,JNovergang,3,1)</f>
        <v>0</v>
      </c>
      <c r="AO170" s="169">
        <f>AM170-AN170</f>
        <v>0</v>
      </c>
      <c r="AP170" s="169">
        <f>M170*(100+X170)%</f>
        <v>0</v>
      </c>
      <c r="AQ170" s="274">
        <f>ROUND(M170*F170,2)</f>
        <v>0</v>
      </c>
      <c r="AS170" s="274">
        <f>ROUND((AP170+AQ170)+AM170*(N170/12),0)</f>
        <v>0</v>
      </c>
      <c r="AT170" s="274">
        <f>ROUND(AM170*(O170/12),0)</f>
        <v>0</v>
      </c>
      <c r="AU170" s="274">
        <f>ROUND(AM170*(P170/12)*U170,0)</f>
        <v>0</v>
      </c>
      <c r="AW170" s="144">
        <f t="shared" si="50"/>
        <v>0</v>
      </c>
    </row>
    <row r="171" spans="1:49">
      <c r="A171" s="173"/>
      <c r="B171" s="174"/>
      <c r="C171" s="174"/>
      <c r="D171" s="165" t="str">
        <f t="shared" si="34"/>
        <v xml:space="preserve"> </v>
      </c>
      <c r="E171" s="177"/>
      <c r="F171" s="287">
        <v>0</v>
      </c>
      <c r="G171" s="177">
        <v>37</v>
      </c>
      <c r="H171" s="177">
        <v>37</v>
      </c>
      <c r="I171" s="177"/>
      <c r="J171" s="179"/>
      <c r="K171" s="177"/>
      <c r="L171" s="179"/>
      <c r="M171" s="166"/>
      <c r="N171" s="166"/>
      <c r="O171" s="166"/>
      <c r="P171" s="166"/>
      <c r="Q171" s="167"/>
      <c r="R171" s="167"/>
      <c r="S171" s="168"/>
      <c r="V171" s="144">
        <f t="shared" si="42"/>
        <v>0</v>
      </c>
      <c r="W171" s="144">
        <f t="shared" si="43"/>
        <v>0</v>
      </c>
      <c r="X171" s="144">
        <f t="shared" si="35"/>
        <v>0</v>
      </c>
      <c r="Y171" s="144">
        <f t="shared" si="44"/>
        <v>31.779800000000002</v>
      </c>
      <c r="Z171" s="169">
        <f t="shared" si="36"/>
        <v>0</v>
      </c>
      <c r="AA171" s="274">
        <f t="shared" si="37"/>
        <v>0</v>
      </c>
      <c r="AB171" s="169">
        <f t="shared" si="45"/>
        <v>0</v>
      </c>
      <c r="AC171" s="274">
        <f t="shared" si="38"/>
        <v>0</v>
      </c>
      <c r="AD171" s="169">
        <f t="shared" si="39"/>
        <v>0</v>
      </c>
      <c r="AE171" s="274">
        <f t="shared" si="40"/>
        <v>0</v>
      </c>
      <c r="AF171" s="169">
        <f t="shared" si="46"/>
        <v>0</v>
      </c>
      <c r="AG171" s="274">
        <f t="shared" si="41"/>
        <v>0</v>
      </c>
      <c r="AH171" s="169">
        <f t="shared" si="47"/>
        <v>0</v>
      </c>
      <c r="AI171" s="169"/>
      <c r="AJ171" s="169">
        <f t="shared" si="48"/>
        <v>0</v>
      </c>
      <c r="AK171" s="169">
        <f t="shared" si="49"/>
        <v>0</v>
      </c>
      <c r="AL171" s="169"/>
      <c r="AM171" s="169"/>
      <c r="AN171" s="169"/>
      <c r="AQ171" s="169"/>
      <c r="AW171" s="144">
        <f t="shared" si="50"/>
        <v>0</v>
      </c>
    </row>
    <row r="172" spans="1:49" ht="9.75" thickBot="1">
      <c r="A172" s="175"/>
      <c r="B172" s="176"/>
      <c r="C172" s="176"/>
      <c r="D172" s="170" t="str">
        <f>VLOOKUP(C172,Tabelændringskode,2,1)</f>
        <v xml:space="preserve"> </v>
      </c>
      <c r="E172" s="178"/>
      <c r="F172" s="288">
        <v>0</v>
      </c>
      <c r="G172" s="178">
        <v>37</v>
      </c>
      <c r="H172" s="178">
        <v>37</v>
      </c>
      <c r="I172" s="178"/>
      <c r="J172" s="180"/>
      <c r="K172" s="178"/>
      <c r="L172" s="180"/>
      <c r="M172" s="180"/>
      <c r="N172" s="178"/>
      <c r="O172" s="178"/>
      <c r="P172" s="178"/>
      <c r="Q172" s="171">
        <f>AS172</f>
        <v>0</v>
      </c>
      <c r="R172" s="171">
        <f>AT172</f>
        <v>0</v>
      </c>
      <c r="S172" s="172">
        <f>AU172</f>
        <v>0</v>
      </c>
      <c r="U172" s="144">
        <f>IF(OR(C171=5,C172=5),0,1)</f>
        <v>1</v>
      </c>
      <c r="V172" s="144">
        <f t="shared" si="42"/>
        <v>0</v>
      </c>
      <c r="W172" s="144">
        <f t="shared" si="43"/>
        <v>0</v>
      </c>
      <c r="X172" s="144">
        <f t="shared" si="35"/>
        <v>0</v>
      </c>
      <c r="Y172" s="144">
        <f t="shared" si="44"/>
        <v>31.779800000000002</v>
      </c>
      <c r="Z172" s="169">
        <f t="shared" si="36"/>
        <v>0</v>
      </c>
      <c r="AA172" s="274">
        <f t="shared" si="37"/>
        <v>0</v>
      </c>
      <c r="AB172" s="169">
        <f t="shared" si="45"/>
        <v>0</v>
      </c>
      <c r="AC172" s="274">
        <f t="shared" si="38"/>
        <v>0</v>
      </c>
      <c r="AD172" s="169">
        <f t="shared" si="39"/>
        <v>0</v>
      </c>
      <c r="AE172" s="274">
        <f t="shared" si="40"/>
        <v>0</v>
      </c>
      <c r="AF172" s="169">
        <f t="shared" si="46"/>
        <v>0</v>
      </c>
      <c r="AG172" s="274">
        <f t="shared" si="41"/>
        <v>0</v>
      </c>
      <c r="AH172" s="169">
        <f t="shared" si="47"/>
        <v>0</v>
      </c>
      <c r="AI172" s="169"/>
      <c r="AJ172" s="169">
        <f t="shared" si="48"/>
        <v>0</v>
      </c>
      <c r="AK172" s="169">
        <f t="shared" si="49"/>
        <v>0</v>
      </c>
      <c r="AL172" s="169"/>
      <c r="AM172" s="169">
        <f>AK171*W171+AK172*W172</f>
        <v>0</v>
      </c>
      <c r="AN172" s="169">
        <f>(SUM(AD171:AG171)*W171+SUM(AD172:AG172)*W172)*12*VLOOKUP(C172,JNovergang,3,1)</f>
        <v>0</v>
      </c>
      <c r="AO172" s="169">
        <f>AM172-AN172</f>
        <v>0</v>
      </c>
      <c r="AP172" s="169">
        <f>M172*(100+X172)%</f>
        <v>0</v>
      </c>
      <c r="AQ172" s="274">
        <f>ROUND(M172*F172,2)</f>
        <v>0</v>
      </c>
      <c r="AS172" s="274">
        <f>ROUND((AP172+AQ172)+AM172*(N172/12),0)</f>
        <v>0</v>
      </c>
      <c r="AT172" s="274">
        <f>ROUND(AM172*(O172/12),0)</f>
        <v>0</v>
      </c>
      <c r="AU172" s="274">
        <f>ROUND(AM172*(P172/12)*U172,0)</f>
        <v>0</v>
      </c>
      <c r="AW172" s="144">
        <f t="shared" si="50"/>
        <v>0</v>
      </c>
    </row>
    <row r="173" spans="1:49">
      <c r="A173" s="173"/>
      <c r="B173" s="174"/>
      <c r="C173" s="174"/>
      <c r="D173" s="165" t="str">
        <f t="shared" si="34"/>
        <v xml:space="preserve"> </v>
      </c>
      <c r="E173" s="177"/>
      <c r="F173" s="287">
        <v>0</v>
      </c>
      <c r="G173" s="177">
        <v>37</v>
      </c>
      <c r="H173" s="177">
        <v>37</v>
      </c>
      <c r="I173" s="177"/>
      <c r="J173" s="179"/>
      <c r="K173" s="177"/>
      <c r="L173" s="179"/>
      <c r="M173" s="166"/>
      <c r="N173" s="166"/>
      <c r="O173" s="166"/>
      <c r="P173" s="166"/>
      <c r="Q173" s="167"/>
      <c r="R173" s="167"/>
      <c r="S173" s="168"/>
      <c r="V173" s="144">
        <f t="shared" si="42"/>
        <v>0</v>
      </c>
      <c r="W173" s="144">
        <f t="shared" si="43"/>
        <v>0</v>
      </c>
      <c r="X173" s="144">
        <f t="shared" si="35"/>
        <v>0</v>
      </c>
      <c r="Y173" s="144">
        <f t="shared" si="44"/>
        <v>31.779800000000002</v>
      </c>
      <c r="Z173" s="169">
        <f t="shared" si="36"/>
        <v>0</v>
      </c>
      <c r="AA173" s="274">
        <f t="shared" si="37"/>
        <v>0</v>
      </c>
      <c r="AB173" s="169">
        <f t="shared" si="45"/>
        <v>0</v>
      </c>
      <c r="AC173" s="274">
        <f t="shared" si="38"/>
        <v>0</v>
      </c>
      <c r="AD173" s="169">
        <f t="shared" si="39"/>
        <v>0</v>
      </c>
      <c r="AE173" s="274">
        <f t="shared" si="40"/>
        <v>0</v>
      </c>
      <c r="AF173" s="169">
        <f t="shared" si="46"/>
        <v>0</v>
      </c>
      <c r="AG173" s="274">
        <f t="shared" si="41"/>
        <v>0</v>
      </c>
      <c r="AH173" s="169">
        <f t="shared" si="47"/>
        <v>0</v>
      </c>
      <c r="AI173" s="169"/>
      <c r="AJ173" s="169">
        <f t="shared" si="48"/>
        <v>0</v>
      </c>
      <c r="AK173" s="169">
        <f t="shared" si="49"/>
        <v>0</v>
      </c>
      <c r="AL173" s="169"/>
      <c r="AM173" s="169"/>
      <c r="AN173" s="169"/>
      <c r="AQ173" s="169"/>
      <c r="AW173" s="144">
        <f t="shared" si="50"/>
        <v>0</v>
      </c>
    </row>
    <row r="174" spans="1:49" ht="9.75" thickBot="1">
      <c r="A174" s="175"/>
      <c r="B174" s="176"/>
      <c r="C174" s="176"/>
      <c r="D174" s="170" t="str">
        <f>VLOOKUP(C174,Tabelændringskode,2,1)</f>
        <v xml:space="preserve"> </v>
      </c>
      <c r="E174" s="178"/>
      <c r="F174" s="288">
        <v>0</v>
      </c>
      <c r="G174" s="178">
        <v>37</v>
      </c>
      <c r="H174" s="178">
        <v>37</v>
      </c>
      <c r="I174" s="178"/>
      <c r="J174" s="180"/>
      <c r="K174" s="178"/>
      <c r="L174" s="180"/>
      <c r="M174" s="180"/>
      <c r="N174" s="178"/>
      <c r="O174" s="178"/>
      <c r="P174" s="178"/>
      <c r="Q174" s="171">
        <f>AS174</f>
        <v>0</v>
      </c>
      <c r="R174" s="171">
        <f>AT174</f>
        <v>0</v>
      </c>
      <c r="S174" s="172">
        <f>AU174</f>
        <v>0</v>
      </c>
      <c r="U174" s="144">
        <f>IF(OR(C173=5,C174=5),0,1)</f>
        <v>1</v>
      </c>
      <c r="V174" s="144">
        <f t="shared" si="42"/>
        <v>0</v>
      </c>
      <c r="W174" s="144">
        <f t="shared" si="43"/>
        <v>0</v>
      </c>
      <c r="X174" s="144">
        <f t="shared" si="35"/>
        <v>0</v>
      </c>
      <c r="Y174" s="144">
        <f t="shared" si="44"/>
        <v>31.779800000000002</v>
      </c>
      <c r="Z174" s="169">
        <f t="shared" si="36"/>
        <v>0</v>
      </c>
      <c r="AA174" s="274">
        <f t="shared" si="37"/>
        <v>0</v>
      </c>
      <c r="AB174" s="169">
        <f t="shared" si="45"/>
        <v>0</v>
      </c>
      <c r="AC174" s="274">
        <f t="shared" si="38"/>
        <v>0</v>
      </c>
      <c r="AD174" s="169">
        <f t="shared" si="39"/>
        <v>0</v>
      </c>
      <c r="AE174" s="274">
        <f t="shared" si="40"/>
        <v>0</v>
      </c>
      <c r="AF174" s="169">
        <f t="shared" si="46"/>
        <v>0</v>
      </c>
      <c r="AG174" s="274">
        <f t="shared" si="41"/>
        <v>0</v>
      </c>
      <c r="AH174" s="169">
        <f t="shared" si="47"/>
        <v>0</v>
      </c>
      <c r="AI174" s="169"/>
      <c r="AJ174" s="169">
        <f t="shared" si="48"/>
        <v>0</v>
      </c>
      <c r="AK174" s="169">
        <f t="shared" si="49"/>
        <v>0</v>
      </c>
      <c r="AL174" s="169"/>
      <c r="AM174" s="169">
        <f>AK173*W173+AK174*W174</f>
        <v>0</v>
      </c>
      <c r="AN174" s="169">
        <f>(SUM(AD173:AG173)*W173+SUM(AD174:AG174)*W174)*12*VLOOKUP(C174,JNovergang,3,1)</f>
        <v>0</v>
      </c>
      <c r="AO174" s="169">
        <f>AM174-AN174</f>
        <v>0</v>
      </c>
      <c r="AP174" s="169">
        <f>M174*(100+X174)%</f>
        <v>0</v>
      </c>
      <c r="AQ174" s="274">
        <f>ROUND(M174*F174,2)</f>
        <v>0</v>
      </c>
      <c r="AS174" s="274">
        <f>ROUND((AP174+AQ174)+AM174*(N174/12),0)</f>
        <v>0</v>
      </c>
      <c r="AT174" s="274">
        <f>ROUND(AM174*(O174/12),0)</f>
        <v>0</v>
      </c>
      <c r="AU174" s="274">
        <f>ROUND(AM174*(P174/12)*U174,0)</f>
        <v>0</v>
      </c>
      <c r="AW174" s="144">
        <f t="shared" si="50"/>
        <v>0</v>
      </c>
    </row>
    <row r="175" spans="1:49">
      <c r="A175" s="173"/>
      <c r="B175" s="174"/>
      <c r="C175" s="174"/>
      <c r="D175" s="165" t="str">
        <f t="shared" si="34"/>
        <v xml:space="preserve"> </v>
      </c>
      <c r="E175" s="177"/>
      <c r="F175" s="287">
        <v>0</v>
      </c>
      <c r="G175" s="177">
        <v>37</v>
      </c>
      <c r="H175" s="177">
        <v>37</v>
      </c>
      <c r="I175" s="177"/>
      <c r="J175" s="179"/>
      <c r="K175" s="177"/>
      <c r="L175" s="179"/>
      <c r="M175" s="166"/>
      <c r="N175" s="166"/>
      <c r="O175" s="166"/>
      <c r="P175" s="166"/>
      <c r="Q175" s="167"/>
      <c r="R175" s="167"/>
      <c r="S175" s="168"/>
      <c r="V175" s="144">
        <f t="shared" si="42"/>
        <v>0</v>
      </c>
      <c r="W175" s="144">
        <f t="shared" si="43"/>
        <v>0</v>
      </c>
      <c r="X175" s="144">
        <f t="shared" si="35"/>
        <v>0</v>
      </c>
      <c r="Y175" s="144">
        <f t="shared" si="44"/>
        <v>31.779800000000002</v>
      </c>
      <c r="Z175" s="169">
        <f t="shared" si="36"/>
        <v>0</v>
      </c>
      <c r="AA175" s="274">
        <f t="shared" si="37"/>
        <v>0</v>
      </c>
      <c r="AB175" s="169">
        <f t="shared" si="45"/>
        <v>0</v>
      </c>
      <c r="AC175" s="274">
        <f t="shared" si="38"/>
        <v>0</v>
      </c>
      <c r="AD175" s="169">
        <f t="shared" si="39"/>
        <v>0</v>
      </c>
      <c r="AE175" s="274">
        <f t="shared" si="40"/>
        <v>0</v>
      </c>
      <c r="AF175" s="169">
        <f t="shared" si="46"/>
        <v>0</v>
      </c>
      <c r="AG175" s="274">
        <f t="shared" si="41"/>
        <v>0</v>
      </c>
      <c r="AH175" s="169">
        <f t="shared" si="47"/>
        <v>0</v>
      </c>
      <c r="AI175" s="169"/>
      <c r="AJ175" s="169">
        <f t="shared" si="48"/>
        <v>0</v>
      </c>
      <c r="AK175" s="169">
        <f t="shared" si="49"/>
        <v>0</v>
      </c>
      <c r="AL175" s="169"/>
      <c r="AM175" s="169"/>
      <c r="AN175" s="169"/>
      <c r="AQ175" s="169"/>
      <c r="AW175" s="144">
        <f t="shared" si="50"/>
        <v>0</v>
      </c>
    </row>
    <row r="176" spans="1:49" ht="9.75" thickBot="1">
      <c r="A176" s="175"/>
      <c r="B176" s="176"/>
      <c r="C176" s="176"/>
      <c r="D176" s="170" t="str">
        <f>VLOOKUP(C176,Tabelændringskode,2,1)</f>
        <v xml:space="preserve"> </v>
      </c>
      <c r="E176" s="178"/>
      <c r="F176" s="288">
        <v>0</v>
      </c>
      <c r="G176" s="178">
        <v>37</v>
      </c>
      <c r="H176" s="178">
        <v>37</v>
      </c>
      <c r="I176" s="178"/>
      <c r="J176" s="180"/>
      <c r="K176" s="178"/>
      <c r="L176" s="180"/>
      <c r="M176" s="180"/>
      <c r="N176" s="178"/>
      <c r="O176" s="178"/>
      <c r="P176" s="178"/>
      <c r="Q176" s="171">
        <f>AS176</f>
        <v>0</v>
      </c>
      <c r="R176" s="171">
        <f>AT176</f>
        <v>0</v>
      </c>
      <c r="S176" s="172">
        <f>AU176</f>
        <v>0</v>
      </c>
      <c r="U176" s="144">
        <f>IF(OR(C175=5,C176=5),0,1)</f>
        <v>1</v>
      </c>
      <c r="V176" s="144">
        <f t="shared" si="42"/>
        <v>0</v>
      </c>
      <c r="W176" s="144">
        <f t="shared" si="43"/>
        <v>0</v>
      </c>
      <c r="X176" s="144">
        <f t="shared" si="35"/>
        <v>0</v>
      </c>
      <c r="Y176" s="144">
        <f t="shared" si="44"/>
        <v>31.779800000000002</v>
      </c>
      <c r="Z176" s="169">
        <f t="shared" si="36"/>
        <v>0</v>
      </c>
      <c r="AA176" s="274">
        <f t="shared" si="37"/>
        <v>0</v>
      </c>
      <c r="AB176" s="169">
        <f t="shared" si="45"/>
        <v>0</v>
      </c>
      <c r="AC176" s="274">
        <f t="shared" si="38"/>
        <v>0</v>
      </c>
      <c r="AD176" s="169">
        <f t="shared" si="39"/>
        <v>0</v>
      </c>
      <c r="AE176" s="274">
        <f t="shared" si="40"/>
        <v>0</v>
      </c>
      <c r="AF176" s="169">
        <f t="shared" si="46"/>
        <v>0</v>
      </c>
      <c r="AG176" s="274">
        <f t="shared" si="41"/>
        <v>0</v>
      </c>
      <c r="AH176" s="169">
        <f t="shared" si="47"/>
        <v>0</v>
      </c>
      <c r="AI176" s="169"/>
      <c r="AJ176" s="169">
        <f t="shared" si="48"/>
        <v>0</v>
      </c>
      <c r="AK176" s="169">
        <f t="shared" si="49"/>
        <v>0</v>
      </c>
      <c r="AL176" s="169"/>
      <c r="AM176" s="169">
        <f>AK175*W175+AK176*W176</f>
        <v>0</v>
      </c>
      <c r="AN176" s="169">
        <f>(SUM(AD175:AG175)*W175+SUM(AD176:AG176)*W176)*12*VLOOKUP(C176,JNovergang,3,1)</f>
        <v>0</v>
      </c>
      <c r="AO176" s="169">
        <f>AM176-AN176</f>
        <v>0</v>
      </c>
      <c r="AP176" s="169">
        <f>M176*(100+X176)%</f>
        <v>0</v>
      </c>
      <c r="AQ176" s="274">
        <f>ROUND(M176*F176,2)</f>
        <v>0</v>
      </c>
      <c r="AS176" s="274">
        <f>ROUND((AP176+AQ176)+AM176*(N176/12),0)</f>
        <v>0</v>
      </c>
      <c r="AT176" s="274">
        <f>ROUND(AM176*(O176/12),0)</f>
        <v>0</v>
      </c>
      <c r="AU176" s="274">
        <f>ROUND(AM176*(P176/12)*U176,0)</f>
        <v>0</v>
      </c>
      <c r="AW176" s="144">
        <f t="shared" si="50"/>
        <v>0</v>
      </c>
    </row>
    <row r="177" spans="1:49">
      <c r="A177" s="173"/>
      <c r="B177" s="174"/>
      <c r="C177" s="174"/>
      <c r="D177" s="165" t="str">
        <f t="shared" ref="D177:D195" si="51">VLOOKUP(C177,Tabelændringskode,2,1)</f>
        <v xml:space="preserve"> </v>
      </c>
      <c r="E177" s="177"/>
      <c r="F177" s="287">
        <v>0</v>
      </c>
      <c r="G177" s="177">
        <v>37</v>
      </c>
      <c r="H177" s="177">
        <v>37</v>
      </c>
      <c r="I177" s="177"/>
      <c r="J177" s="179"/>
      <c r="K177" s="177"/>
      <c r="L177" s="179"/>
      <c r="M177" s="166"/>
      <c r="N177" s="166"/>
      <c r="O177" s="166"/>
      <c r="P177" s="166"/>
      <c r="Q177" s="167"/>
      <c r="R177" s="167"/>
      <c r="S177" s="168"/>
      <c r="V177" s="144">
        <f t="shared" si="42"/>
        <v>0</v>
      </c>
      <c r="W177" s="144">
        <f t="shared" si="43"/>
        <v>0</v>
      </c>
      <c r="X177" s="144">
        <f t="shared" si="35"/>
        <v>0</v>
      </c>
      <c r="Y177" s="144">
        <f t="shared" si="44"/>
        <v>31.779800000000002</v>
      </c>
      <c r="Z177" s="169">
        <f t="shared" si="36"/>
        <v>0</v>
      </c>
      <c r="AA177" s="274">
        <f t="shared" si="37"/>
        <v>0</v>
      </c>
      <c r="AB177" s="169">
        <f t="shared" si="45"/>
        <v>0</v>
      </c>
      <c r="AC177" s="274">
        <f t="shared" si="38"/>
        <v>0</v>
      </c>
      <c r="AD177" s="169">
        <f t="shared" si="39"/>
        <v>0</v>
      </c>
      <c r="AE177" s="274">
        <f t="shared" si="40"/>
        <v>0</v>
      </c>
      <c r="AF177" s="169">
        <f t="shared" si="46"/>
        <v>0</v>
      </c>
      <c r="AG177" s="274">
        <f t="shared" si="41"/>
        <v>0</v>
      </c>
      <c r="AH177" s="169">
        <f t="shared" si="47"/>
        <v>0</v>
      </c>
      <c r="AI177" s="169"/>
      <c r="AJ177" s="169">
        <f t="shared" si="48"/>
        <v>0</v>
      </c>
      <c r="AK177" s="169">
        <f t="shared" si="49"/>
        <v>0</v>
      </c>
      <c r="AL177" s="169"/>
      <c r="AM177" s="169"/>
      <c r="AN177" s="169"/>
      <c r="AQ177" s="169"/>
      <c r="AW177" s="144">
        <f t="shared" si="50"/>
        <v>0</v>
      </c>
    </row>
    <row r="178" spans="1:49" ht="9.75" thickBot="1">
      <c r="A178" s="175"/>
      <c r="B178" s="176"/>
      <c r="C178" s="176"/>
      <c r="D178" s="170" t="str">
        <f>VLOOKUP(C178,Tabelændringskode,2,1)</f>
        <v xml:space="preserve"> </v>
      </c>
      <c r="E178" s="178"/>
      <c r="F178" s="288">
        <v>0</v>
      </c>
      <c r="G178" s="178">
        <v>37</v>
      </c>
      <c r="H178" s="178">
        <v>37</v>
      </c>
      <c r="I178" s="178"/>
      <c r="J178" s="180"/>
      <c r="K178" s="178"/>
      <c r="L178" s="180"/>
      <c r="M178" s="180"/>
      <c r="N178" s="178"/>
      <c r="O178" s="178"/>
      <c r="P178" s="178"/>
      <c r="Q178" s="171">
        <f>AS178</f>
        <v>0</v>
      </c>
      <c r="R178" s="171">
        <f>AT178</f>
        <v>0</v>
      </c>
      <c r="S178" s="172">
        <f>AU178</f>
        <v>0</v>
      </c>
      <c r="U178" s="144">
        <f>IF(OR(C177=5,C178=5),0,1)</f>
        <v>1</v>
      </c>
      <c r="V178" s="144">
        <f t="shared" si="42"/>
        <v>0</v>
      </c>
      <c r="W178" s="144">
        <f t="shared" si="43"/>
        <v>0</v>
      </c>
      <c r="X178" s="144">
        <f t="shared" si="35"/>
        <v>0</v>
      </c>
      <c r="Y178" s="144">
        <f t="shared" si="44"/>
        <v>31.779800000000002</v>
      </c>
      <c r="Z178" s="169">
        <f t="shared" si="36"/>
        <v>0</v>
      </c>
      <c r="AA178" s="274">
        <f t="shared" si="37"/>
        <v>0</v>
      </c>
      <c r="AB178" s="169">
        <f t="shared" si="45"/>
        <v>0</v>
      </c>
      <c r="AC178" s="274">
        <f t="shared" si="38"/>
        <v>0</v>
      </c>
      <c r="AD178" s="169">
        <f t="shared" si="39"/>
        <v>0</v>
      </c>
      <c r="AE178" s="274">
        <f t="shared" si="40"/>
        <v>0</v>
      </c>
      <c r="AF178" s="169">
        <f t="shared" si="46"/>
        <v>0</v>
      </c>
      <c r="AG178" s="274">
        <f t="shared" si="41"/>
        <v>0</v>
      </c>
      <c r="AH178" s="169">
        <f t="shared" si="47"/>
        <v>0</v>
      </c>
      <c r="AI178" s="169"/>
      <c r="AJ178" s="169">
        <f t="shared" si="48"/>
        <v>0</v>
      </c>
      <c r="AK178" s="169">
        <f t="shared" si="49"/>
        <v>0</v>
      </c>
      <c r="AL178" s="169"/>
      <c r="AM178" s="169">
        <f>AK177*W177+AK178*W178</f>
        <v>0</v>
      </c>
      <c r="AN178" s="169">
        <f>(SUM(AD177:AG177)*W177+SUM(AD178:AG178)*W178)*12*VLOOKUP(C178,JNovergang,3,1)</f>
        <v>0</v>
      </c>
      <c r="AO178" s="169">
        <f>AM178-AN178</f>
        <v>0</v>
      </c>
      <c r="AP178" s="169">
        <f>M178*(100+X178)%</f>
        <v>0</v>
      </c>
      <c r="AQ178" s="274">
        <f>ROUND(M178*F178,2)</f>
        <v>0</v>
      </c>
      <c r="AS178" s="274">
        <f>ROUND((AP178+AQ178)+AM178*(N178/12),0)</f>
        <v>0</v>
      </c>
      <c r="AT178" s="274">
        <f>ROUND(AM178*(O178/12),0)</f>
        <v>0</v>
      </c>
      <c r="AU178" s="274">
        <f>ROUND(AM178*(P178/12)*U178,0)</f>
        <v>0</v>
      </c>
      <c r="AW178" s="144">
        <f t="shared" si="50"/>
        <v>0</v>
      </c>
    </row>
    <row r="179" spans="1:49">
      <c r="A179" s="173"/>
      <c r="B179" s="174"/>
      <c r="C179" s="174"/>
      <c r="D179" s="165" t="str">
        <f t="shared" si="51"/>
        <v xml:space="preserve"> </v>
      </c>
      <c r="E179" s="177"/>
      <c r="F179" s="287">
        <v>0</v>
      </c>
      <c r="G179" s="177">
        <v>37</v>
      </c>
      <c r="H179" s="177">
        <v>37</v>
      </c>
      <c r="I179" s="177"/>
      <c r="J179" s="179"/>
      <c r="K179" s="177"/>
      <c r="L179" s="179"/>
      <c r="M179" s="166"/>
      <c r="N179" s="166"/>
      <c r="O179" s="166"/>
      <c r="P179" s="166"/>
      <c r="Q179" s="167"/>
      <c r="R179" s="167"/>
      <c r="S179" s="168"/>
      <c r="V179" s="144">
        <f t="shared" si="42"/>
        <v>0</v>
      </c>
      <c r="W179" s="144">
        <f t="shared" si="43"/>
        <v>0</v>
      </c>
      <c r="X179" s="144">
        <f t="shared" ref="X179:X242" si="52">VLOOKUP(C179,JNferiepenge,3,1)</f>
        <v>0</v>
      </c>
      <c r="Y179" s="144">
        <f t="shared" si="44"/>
        <v>31.779800000000002</v>
      </c>
      <c r="Z179" s="169">
        <f t="shared" si="36"/>
        <v>0</v>
      </c>
      <c r="AA179" s="274">
        <f t="shared" si="37"/>
        <v>0</v>
      </c>
      <c r="AB179" s="169">
        <f t="shared" si="45"/>
        <v>0</v>
      </c>
      <c r="AC179" s="274">
        <f t="shared" si="38"/>
        <v>0</v>
      </c>
      <c r="AD179" s="169">
        <f t="shared" si="39"/>
        <v>0</v>
      </c>
      <c r="AE179" s="274">
        <f t="shared" si="40"/>
        <v>0</v>
      </c>
      <c r="AF179" s="169">
        <f t="shared" si="46"/>
        <v>0</v>
      </c>
      <c r="AG179" s="274">
        <f t="shared" si="41"/>
        <v>0</v>
      </c>
      <c r="AH179" s="169">
        <f t="shared" si="47"/>
        <v>0</v>
      </c>
      <c r="AI179" s="169"/>
      <c r="AJ179" s="169">
        <f t="shared" si="48"/>
        <v>0</v>
      </c>
      <c r="AK179" s="169">
        <f t="shared" si="49"/>
        <v>0</v>
      </c>
      <c r="AL179" s="169"/>
      <c r="AM179" s="169"/>
      <c r="AN179" s="169"/>
      <c r="AQ179" s="169"/>
      <c r="AW179" s="144">
        <f t="shared" si="50"/>
        <v>0</v>
      </c>
    </row>
    <row r="180" spans="1:49" ht="9.75" thickBot="1">
      <c r="A180" s="175"/>
      <c r="B180" s="176"/>
      <c r="C180" s="176"/>
      <c r="D180" s="170" t="str">
        <f>VLOOKUP(C180,Tabelændringskode,2,1)</f>
        <v xml:space="preserve"> </v>
      </c>
      <c r="E180" s="178"/>
      <c r="F180" s="288">
        <v>0</v>
      </c>
      <c r="G180" s="178">
        <v>37</v>
      </c>
      <c r="H180" s="178">
        <v>37</v>
      </c>
      <c r="I180" s="178"/>
      <c r="J180" s="180"/>
      <c r="K180" s="178"/>
      <c r="L180" s="180"/>
      <c r="M180" s="180"/>
      <c r="N180" s="178"/>
      <c r="O180" s="178"/>
      <c r="P180" s="178"/>
      <c r="Q180" s="171">
        <f>AS180</f>
        <v>0</v>
      </c>
      <c r="R180" s="171">
        <f>AT180</f>
        <v>0</v>
      </c>
      <c r="S180" s="172">
        <f>AU180</f>
        <v>0</v>
      </c>
      <c r="U180" s="144">
        <f>IF(OR(C179=5,C180=5),0,1)</f>
        <v>1</v>
      </c>
      <c r="V180" s="144">
        <f t="shared" si="42"/>
        <v>0</v>
      </c>
      <c r="W180" s="144">
        <f t="shared" si="43"/>
        <v>0</v>
      </c>
      <c r="X180" s="144">
        <f t="shared" si="52"/>
        <v>0</v>
      </c>
      <c r="Y180" s="144">
        <f t="shared" si="44"/>
        <v>31.779800000000002</v>
      </c>
      <c r="Z180" s="169">
        <f t="shared" si="36"/>
        <v>0</v>
      </c>
      <c r="AA180" s="274">
        <f t="shared" si="37"/>
        <v>0</v>
      </c>
      <c r="AB180" s="169">
        <f t="shared" si="45"/>
        <v>0</v>
      </c>
      <c r="AC180" s="274">
        <f t="shared" si="38"/>
        <v>0</v>
      </c>
      <c r="AD180" s="169">
        <f t="shared" si="39"/>
        <v>0</v>
      </c>
      <c r="AE180" s="274">
        <f t="shared" si="40"/>
        <v>0</v>
      </c>
      <c r="AF180" s="169">
        <f t="shared" si="46"/>
        <v>0</v>
      </c>
      <c r="AG180" s="274">
        <f t="shared" si="41"/>
        <v>0</v>
      </c>
      <c r="AH180" s="169">
        <f t="shared" si="47"/>
        <v>0</v>
      </c>
      <c r="AI180" s="169"/>
      <c r="AJ180" s="169">
        <f t="shared" si="48"/>
        <v>0</v>
      </c>
      <c r="AK180" s="169">
        <f t="shared" si="49"/>
        <v>0</v>
      </c>
      <c r="AL180" s="169"/>
      <c r="AM180" s="169">
        <f>AK179*W179+AK180*W180</f>
        <v>0</v>
      </c>
      <c r="AN180" s="169">
        <f>(SUM(AD179:AG179)*W179+SUM(AD180:AG180)*W180)*12*VLOOKUP(C180,JNovergang,3,1)</f>
        <v>0</v>
      </c>
      <c r="AO180" s="169">
        <f>AM180-AN180</f>
        <v>0</v>
      </c>
      <c r="AP180" s="169">
        <f>M180*(100+X180)%</f>
        <v>0</v>
      </c>
      <c r="AQ180" s="274">
        <f>ROUND(M180*F180,2)</f>
        <v>0</v>
      </c>
      <c r="AS180" s="274">
        <f>ROUND((AP180+AQ180)+AM180*(N180/12),0)</f>
        <v>0</v>
      </c>
      <c r="AT180" s="274">
        <f>ROUND(AM180*(O180/12),0)</f>
        <v>0</v>
      </c>
      <c r="AU180" s="274">
        <f>ROUND(AM180*(P180/12)*U180,0)</f>
        <v>0</v>
      </c>
      <c r="AW180" s="144">
        <f t="shared" si="50"/>
        <v>0</v>
      </c>
    </row>
    <row r="181" spans="1:49">
      <c r="A181" s="173"/>
      <c r="B181" s="174"/>
      <c r="C181" s="174"/>
      <c r="D181" s="165" t="str">
        <f t="shared" si="51"/>
        <v xml:space="preserve"> </v>
      </c>
      <c r="E181" s="177"/>
      <c r="F181" s="287">
        <v>0</v>
      </c>
      <c r="G181" s="177">
        <v>37</v>
      </c>
      <c r="H181" s="177">
        <v>37</v>
      </c>
      <c r="I181" s="177"/>
      <c r="J181" s="179"/>
      <c r="K181" s="177"/>
      <c r="L181" s="179"/>
      <c r="M181" s="166"/>
      <c r="N181" s="166"/>
      <c r="O181" s="166"/>
      <c r="P181" s="166"/>
      <c r="Q181" s="167"/>
      <c r="R181" s="167"/>
      <c r="S181" s="168"/>
      <c r="V181" s="144">
        <f t="shared" si="42"/>
        <v>0</v>
      </c>
      <c r="W181" s="144">
        <f t="shared" si="43"/>
        <v>0</v>
      </c>
      <c r="X181" s="144">
        <f t="shared" si="52"/>
        <v>0</v>
      </c>
      <c r="Y181" s="144">
        <f t="shared" si="44"/>
        <v>31.779800000000002</v>
      </c>
      <c r="Z181" s="169">
        <f t="shared" si="36"/>
        <v>0</v>
      </c>
      <c r="AA181" s="274">
        <f t="shared" si="37"/>
        <v>0</v>
      </c>
      <c r="AB181" s="169">
        <f t="shared" si="45"/>
        <v>0</v>
      </c>
      <c r="AC181" s="274">
        <f t="shared" si="38"/>
        <v>0</v>
      </c>
      <c r="AD181" s="169">
        <f t="shared" si="39"/>
        <v>0</v>
      </c>
      <c r="AE181" s="274">
        <f t="shared" si="40"/>
        <v>0</v>
      </c>
      <c r="AF181" s="169">
        <f t="shared" si="46"/>
        <v>0</v>
      </c>
      <c r="AG181" s="274">
        <f t="shared" si="41"/>
        <v>0</v>
      </c>
      <c r="AH181" s="169">
        <f t="shared" si="47"/>
        <v>0</v>
      </c>
      <c r="AI181" s="169"/>
      <c r="AJ181" s="169">
        <f t="shared" si="48"/>
        <v>0</v>
      </c>
      <c r="AK181" s="169">
        <f t="shared" si="49"/>
        <v>0</v>
      </c>
      <c r="AL181" s="169"/>
      <c r="AM181" s="169"/>
      <c r="AN181" s="169"/>
      <c r="AQ181" s="169"/>
      <c r="AW181" s="144">
        <f t="shared" si="50"/>
        <v>0</v>
      </c>
    </row>
    <row r="182" spans="1:49" ht="9.75" thickBot="1">
      <c r="A182" s="175"/>
      <c r="B182" s="176"/>
      <c r="C182" s="176"/>
      <c r="D182" s="170" t="str">
        <f>VLOOKUP(C182,Tabelændringskode,2,1)</f>
        <v xml:space="preserve"> </v>
      </c>
      <c r="E182" s="178"/>
      <c r="F182" s="288">
        <v>0</v>
      </c>
      <c r="G182" s="178">
        <v>37</v>
      </c>
      <c r="H182" s="178">
        <v>37</v>
      </c>
      <c r="I182" s="178"/>
      <c r="J182" s="180"/>
      <c r="K182" s="178"/>
      <c r="L182" s="180"/>
      <c r="M182" s="180"/>
      <c r="N182" s="178"/>
      <c r="O182" s="178"/>
      <c r="P182" s="178"/>
      <c r="Q182" s="171">
        <f>AS182</f>
        <v>0</v>
      </c>
      <c r="R182" s="171">
        <f>AT182</f>
        <v>0</v>
      </c>
      <c r="S182" s="172">
        <f>AU182</f>
        <v>0</v>
      </c>
      <c r="U182" s="144">
        <f>IF(OR(C181=5,C182=5),0,1)</f>
        <v>1</v>
      </c>
      <c r="V182" s="144">
        <f t="shared" si="42"/>
        <v>0</v>
      </c>
      <c r="W182" s="144">
        <f t="shared" si="43"/>
        <v>0</v>
      </c>
      <c r="X182" s="144">
        <f t="shared" si="52"/>
        <v>0</v>
      </c>
      <c r="Y182" s="144">
        <f t="shared" si="44"/>
        <v>31.779800000000002</v>
      </c>
      <c r="Z182" s="169">
        <f t="shared" si="36"/>
        <v>0</v>
      </c>
      <c r="AA182" s="274">
        <f t="shared" si="37"/>
        <v>0</v>
      </c>
      <c r="AB182" s="169">
        <f t="shared" si="45"/>
        <v>0</v>
      </c>
      <c r="AC182" s="274">
        <f t="shared" si="38"/>
        <v>0</v>
      </c>
      <c r="AD182" s="169">
        <f t="shared" si="39"/>
        <v>0</v>
      </c>
      <c r="AE182" s="274">
        <f t="shared" si="40"/>
        <v>0</v>
      </c>
      <c r="AF182" s="169">
        <f t="shared" si="46"/>
        <v>0</v>
      </c>
      <c r="AG182" s="274">
        <f t="shared" si="41"/>
        <v>0</v>
      </c>
      <c r="AH182" s="169">
        <f t="shared" si="47"/>
        <v>0</v>
      </c>
      <c r="AI182" s="169"/>
      <c r="AJ182" s="169">
        <f t="shared" si="48"/>
        <v>0</v>
      </c>
      <c r="AK182" s="169">
        <f t="shared" si="49"/>
        <v>0</v>
      </c>
      <c r="AL182" s="169"/>
      <c r="AM182" s="169">
        <f>AK181*W181+AK182*W182</f>
        <v>0</v>
      </c>
      <c r="AN182" s="169">
        <f>(SUM(AD181:AG181)*W181+SUM(AD182:AG182)*W182)*12*VLOOKUP(C182,JNovergang,3,1)</f>
        <v>0</v>
      </c>
      <c r="AO182" s="169">
        <f>AM182-AN182</f>
        <v>0</v>
      </c>
      <c r="AP182" s="169">
        <f>M182*(100+X182)%</f>
        <v>0</v>
      </c>
      <c r="AQ182" s="274">
        <f>ROUND(M182*F182,2)</f>
        <v>0</v>
      </c>
      <c r="AS182" s="274">
        <f>ROUND((AP182+AQ182)+AM182*(N182/12),0)</f>
        <v>0</v>
      </c>
      <c r="AT182" s="274">
        <f>ROUND(AM182*(O182/12),0)</f>
        <v>0</v>
      </c>
      <c r="AU182" s="274">
        <f>ROUND(AM182*(P182/12)*U182,0)</f>
        <v>0</v>
      </c>
      <c r="AW182" s="144">
        <f t="shared" si="50"/>
        <v>0</v>
      </c>
    </row>
    <row r="183" spans="1:49">
      <c r="A183" s="173"/>
      <c r="B183" s="174"/>
      <c r="C183" s="174"/>
      <c r="D183" s="165" t="str">
        <f t="shared" si="51"/>
        <v xml:space="preserve"> </v>
      </c>
      <c r="E183" s="177"/>
      <c r="F183" s="287">
        <v>0</v>
      </c>
      <c r="G183" s="177">
        <v>37</v>
      </c>
      <c r="H183" s="177">
        <v>37</v>
      </c>
      <c r="I183" s="177"/>
      <c r="J183" s="179"/>
      <c r="K183" s="177"/>
      <c r="L183" s="179"/>
      <c r="M183" s="166"/>
      <c r="N183" s="166"/>
      <c r="O183" s="166"/>
      <c r="P183" s="166"/>
      <c r="Q183" s="167"/>
      <c r="R183" s="167"/>
      <c r="S183" s="168"/>
      <c r="V183" s="144">
        <f t="shared" si="42"/>
        <v>0</v>
      </c>
      <c r="W183" s="144">
        <f t="shared" si="43"/>
        <v>0</v>
      </c>
      <c r="X183" s="144">
        <f t="shared" si="52"/>
        <v>0</v>
      </c>
      <c r="Y183" s="144">
        <f t="shared" si="44"/>
        <v>31.779800000000002</v>
      </c>
      <c r="Z183" s="169">
        <f t="shared" si="36"/>
        <v>0</v>
      </c>
      <c r="AA183" s="274">
        <f t="shared" si="37"/>
        <v>0</v>
      </c>
      <c r="AB183" s="169">
        <f t="shared" si="45"/>
        <v>0</v>
      </c>
      <c r="AC183" s="274">
        <f t="shared" si="38"/>
        <v>0</v>
      </c>
      <c r="AD183" s="169">
        <f t="shared" si="39"/>
        <v>0</v>
      </c>
      <c r="AE183" s="274">
        <f t="shared" si="40"/>
        <v>0</v>
      </c>
      <c r="AF183" s="169">
        <f t="shared" si="46"/>
        <v>0</v>
      </c>
      <c r="AG183" s="274">
        <f t="shared" si="41"/>
        <v>0</v>
      </c>
      <c r="AH183" s="169">
        <f t="shared" si="47"/>
        <v>0</v>
      </c>
      <c r="AI183" s="169"/>
      <c r="AJ183" s="169">
        <f t="shared" si="48"/>
        <v>0</v>
      </c>
      <c r="AK183" s="169">
        <f t="shared" si="49"/>
        <v>0</v>
      </c>
      <c r="AL183" s="169"/>
      <c r="AM183" s="169"/>
      <c r="AN183" s="169"/>
      <c r="AQ183" s="169"/>
      <c r="AW183" s="144">
        <f t="shared" si="50"/>
        <v>0</v>
      </c>
    </row>
    <row r="184" spans="1:49" ht="9.75" thickBot="1">
      <c r="A184" s="175"/>
      <c r="B184" s="176"/>
      <c r="C184" s="176"/>
      <c r="D184" s="170" t="str">
        <f>VLOOKUP(C184,Tabelændringskode,2,1)</f>
        <v xml:space="preserve"> </v>
      </c>
      <c r="E184" s="178"/>
      <c r="F184" s="288">
        <v>0</v>
      </c>
      <c r="G184" s="178">
        <v>37</v>
      </c>
      <c r="H184" s="178">
        <v>37</v>
      </c>
      <c r="I184" s="178"/>
      <c r="J184" s="180"/>
      <c r="K184" s="178"/>
      <c r="L184" s="180"/>
      <c r="M184" s="180"/>
      <c r="N184" s="178"/>
      <c r="O184" s="178"/>
      <c r="P184" s="178"/>
      <c r="Q184" s="171">
        <f>AS184</f>
        <v>0</v>
      </c>
      <c r="R184" s="171">
        <f>AT184</f>
        <v>0</v>
      </c>
      <c r="S184" s="172">
        <f>AU184</f>
        <v>0</v>
      </c>
      <c r="U184" s="144">
        <f>IF(OR(C183=5,C184=5),0,1)</f>
        <v>1</v>
      </c>
      <c r="V184" s="144">
        <f t="shared" si="42"/>
        <v>0</v>
      </c>
      <c r="W184" s="144">
        <f t="shared" si="43"/>
        <v>0</v>
      </c>
      <c r="X184" s="144">
        <f t="shared" si="52"/>
        <v>0</v>
      </c>
      <c r="Y184" s="144">
        <f t="shared" si="44"/>
        <v>31.779800000000002</v>
      </c>
      <c r="Z184" s="169">
        <f t="shared" si="36"/>
        <v>0</v>
      </c>
      <c r="AA184" s="274">
        <f t="shared" si="37"/>
        <v>0</v>
      </c>
      <c r="AB184" s="169">
        <f t="shared" si="45"/>
        <v>0</v>
      </c>
      <c r="AC184" s="274">
        <f t="shared" si="38"/>
        <v>0</v>
      </c>
      <c r="AD184" s="169">
        <f t="shared" si="39"/>
        <v>0</v>
      </c>
      <c r="AE184" s="274">
        <f t="shared" si="40"/>
        <v>0</v>
      </c>
      <c r="AF184" s="169">
        <f t="shared" si="46"/>
        <v>0</v>
      </c>
      <c r="AG184" s="274">
        <f t="shared" si="41"/>
        <v>0</v>
      </c>
      <c r="AH184" s="169">
        <f t="shared" si="47"/>
        <v>0</v>
      </c>
      <c r="AI184" s="169"/>
      <c r="AJ184" s="169">
        <f t="shared" si="48"/>
        <v>0</v>
      </c>
      <c r="AK184" s="169">
        <f t="shared" si="49"/>
        <v>0</v>
      </c>
      <c r="AL184" s="169"/>
      <c r="AM184" s="169">
        <f>AK183*W183+AK184*W184</f>
        <v>0</v>
      </c>
      <c r="AN184" s="169">
        <f>(SUM(AD183:AG183)*W183+SUM(AD184:AG184)*W184)*12*VLOOKUP(C184,JNovergang,3,1)</f>
        <v>0</v>
      </c>
      <c r="AO184" s="169">
        <f>AM184-AN184</f>
        <v>0</v>
      </c>
      <c r="AP184" s="169">
        <f>M184*(100+X184)%</f>
        <v>0</v>
      </c>
      <c r="AQ184" s="274">
        <f>ROUND(M184*F184,2)</f>
        <v>0</v>
      </c>
      <c r="AS184" s="274">
        <f>ROUND((AP184+AQ184)+AM184*(N184/12),0)</f>
        <v>0</v>
      </c>
      <c r="AT184" s="274">
        <f>ROUND(AM184*(O184/12),0)</f>
        <v>0</v>
      </c>
      <c r="AU184" s="274">
        <f>ROUND(AM184*(P184/12)*U184,0)</f>
        <v>0</v>
      </c>
      <c r="AW184" s="144">
        <f t="shared" si="50"/>
        <v>0</v>
      </c>
    </row>
    <row r="185" spans="1:49">
      <c r="A185" s="173"/>
      <c r="B185" s="174"/>
      <c r="C185" s="174"/>
      <c r="D185" s="165" t="str">
        <f t="shared" si="51"/>
        <v xml:space="preserve"> </v>
      </c>
      <c r="E185" s="177"/>
      <c r="F185" s="287">
        <v>0</v>
      </c>
      <c r="G185" s="177">
        <v>37</v>
      </c>
      <c r="H185" s="177">
        <v>37</v>
      </c>
      <c r="I185" s="177"/>
      <c r="J185" s="179"/>
      <c r="K185" s="177"/>
      <c r="L185" s="179"/>
      <c r="M185" s="166"/>
      <c r="N185" s="166"/>
      <c r="O185" s="166"/>
      <c r="P185" s="166"/>
      <c r="Q185" s="167"/>
      <c r="R185" s="167"/>
      <c r="S185" s="168"/>
      <c r="V185" s="144">
        <f t="shared" si="42"/>
        <v>0</v>
      </c>
      <c r="W185" s="144">
        <f t="shared" si="43"/>
        <v>0</v>
      </c>
      <c r="X185" s="144">
        <f t="shared" si="52"/>
        <v>0</v>
      </c>
      <c r="Y185" s="144">
        <f t="shared" si="44"/>
        <v>31.779800000000002</v>
      </c>
      <c r="Z185" s="169">
        <f t="shared" si="36"/>
        <v>0</v>
      </c>
      <c r="AA185" s="274">
        <f t="shared" si="37"/>
        <v>0</v>
      </c>
      <c r="AB185" s="169">
        <f t="shared" si="45"/>
        <v>0</v>
      </c>
      <c r="AC185" s="274">
        <f t="shared" si="38"/>
        <v>0</v>
      </c>
      <c r="AD185" s="169">
        <f t="shared" si="39"/>
        <v>0</v>
      </c>
      <c r="AE185" s="274">
        <f t="shared" si="40"/>
        <v>0</v>
      </c>
      <c r="AF185" s="169">
        <f t="shared" si="46"/>
        <v>0</v>
      </c>
      <c r="AG185" s="274">
        <f t="shared" si="41"/>
        <v>0</v>
      </c>
      <c r="AH185" s="169">
        <f t="shared" si="47"/>
        <v>0</v>
      </c>
      <c r="AI185" s="169"/>
      <c r="AJ185" s="169">
        <f t="shared" si="48"/>
        <v>0</v>
      </c>
      <c r="AK185" s="169">
        <f t="shared" si="49"/>
        <v>0</v>
      </c>
      <c r="AL185" s="169"/>
      <c r="AM185" s="169"/>
      <c r="AN185" s="169"/>
      <c r="AQ185" s="169"/>
      <c r="AW185" s="144">
        <f t="shared" si="50"/>
        <v>0</v>
      </c>
    </row>
    <row r="186" spans="1:49" ht="9.75" thickBot="1">
      <c r="A186" s="175"/>
      <c r="B186" s="176"/>
      <c r="C186" s="176"/>
      <c r="D186" s="170" t="str">
        <f>VLOOKUP(C186,Tabelændringskode,2,1)</f>
        <v xml:space="preserve"> </v>
      </c>
      <c r="E186" s="178"/>
      <c r="F186" s="288">
        <v>0</v>
      </c>
      <c r="G186" s="178">
        <v>37</v>
      </c>
      <c r="H186" s="178">
        <v>37</v>
      </c>
      <c r="I186" s="178"/>
      <c r="J186" s="180"/>
      <c r="K186" s="178"/>
      <c r="L186" s="180"/>
      <c r="M186" s="180"/>
      <c r="N186" s="178"/>
      <c r="O186" s="178"/>
      <c r="P186" s="178"/>
      <c r="Q186" s="171">
        <f>AS186</f>
        <v>0</v>
      </c>
      <c r="R186" s="171">
        <f>AT186</f>
        <v>0</v>
      </c>
      <c r="S186" s="172">
        <f>AU186</f>
        <v>0</v>
      </c>
      <c r="U186" s="144">
        <f>IF(OR(C185=5,C186=5),0,1)</f>
        <v>1</v>
      </c>
      <c r="V186" s="144">
        <f t="shared" si="42"/>
        <v>0</v>
      </c>
      <c r="W186" s="144">
        <f t="shared" si="43"/>
        <v>0</v>
      </c>
      <c r="X186" s="144">
        <f t="shared" si="52"/>
        <v>0</v>
      </c>
      <c r="Y186" s="144">
        <f t="shared" si="44"/>
        <v>31.779800000000002</v>
      </c>
      <c r="Z186" s="169">
        <f t="shared" si="36"/>
        <v>0</v>
      </c>
      <c r="AA186" s="274">
        <f t="shared" si="37"/>
        <v>0</v>
      </c>
      <c r="AB186" s="169">
        <f t="shared" si="45"/>
        <v>0</v>
      </c>
      <c r="AC186" s="274">
        <f t="shared" si="38"/>
        <v>0</v>
      </c>
      <c r="AD186" s="169">
        <f t="shared" si="39"/>
        <v>0</v>
      </c>
      <c r="AE186" s="274">
        <f t="shared" si="40"/>
        <v>0</v>
      </c>
      <c r="AF186" s="169">
        <f t="shared" si="46"/>
        <v>0</v>
      </c>
      <c r="AG186" s="274">
        <f t="shared" si="41"/>
        <v>0</v>
      </c>
      <c r="AH186" s="169">
        <f t="shared" si="47"/>
        <v>0</v>
      </c>
      <c r="AI186" s="169"/>
      <c r="AJ186" s="169">
        <f t="shared" si="48"/>
        <v>0</v>
      </c>
      <c r="AK186" s="169">
        <f t="shared" si="49"/>
        <v>0</v>
      </c>
      <c r="AL186" s="169"/>
      <c r="AM186" s="169">
        <f>AK185*W185+AK186*W186</f>
        <v>0</v>
      </c>
      <c r="AN186" s="169">
        <f>(SUM(AD185:AG185)*W185+SUM(AD186:AG186)*W186)*12*VLOOKUP(C186,JNovergang,3,1)</f>
        <v>0</v>
      </c>
      <c r="AO186" s="169">
        <f>AM186-AN186</f>
        <v>0</v>
      </c>
      <c r="AP186" s="169">
        <f>M186*(100+X186)%</f>
        <v>0</v>
      </c>
      <c r="AQ186" s="274">
        <f>ROUND(M186*F186,2)</f>
        <v>0</v>
      </c>
      <c r="AS186" s="274">
        <f>ROUND((AP186+AQ186)+AM186*(N186/12),0)</f>
        <v>0</v>
      </c>
      <c r="AT186" s="274">
        <f>ROUND(AM186*(O186/12),0)</f>
        <v>0</v>
      </c>
      <c r="AU186" s="274">
        <f>ROUND(AM186*(P186/12)*U186,0)</f>
        <v>0</v>
      </c>
      <c r="AW186" s="144">
        <f t="shared" si="50"/>
        <v>0</v>
      </c>
    </row>
    <row r="187" spans="1:49">
      <c r="A187" s="173"/>
      <c r="B187" s="174"/>
      <c r="C187" s="174"/>
      <c r="D187" s="165" t="str">
        <f t="shared" si="51"/>
        <v xml:space="preserve"> </v>
      </c>
      <c r="E187" s="177"/>
      <c r="F187" s="287">
        <v>0</v>
      </c>
      <c r="G187" s="177">
        <v>37</v>
      </c>
      <c r="H187" s="177">
        <v>37</v>
      </c>
      <c r="I187" s="177"/>
      <c r="J187" s="179"/>
      <c r="K187" s="177"/>
      <c r="L187" s="179"/>
      <c r="M187" s="166"/>
      <c r="N187" s="166"/>
      <c r="O187" s="166"/>
      <c r="P187" s="166"/>
      <c r="Q187" s="167"/>
      <c r="R187" s="167"/>
      <c r="S187" s="168"/>
      <c r="V187" s="144">
        <f t="shared" si="42"/>
        <v>0</v>
      </c>
      <c r="W187" s="144">
        <f t="shared" si="43"/>
        <v>0</v>
      </c>
      <c r="X187" s="144">
        <f t="shared" si="52"/>
        <v>0</v>
      </c>
      <c r="Y187" s="144">
        <f t="shared" si="44"/>
        <v>31.779800000000002</v>
      </c>
      <c r="Z187" s="169">
        <f t="shared" si="36"/>
        <v>0</v>
      </c>
      <c r="AA187" s="274">
        <f t="shared" si="37"/>
        <v>0</v>
      </c>
      <c r="AB187" s="169">
        <f t="shared" si="45"/>
        <v>0</v>
      </c>
      <c r="AC187" s="274">
        <f t="shared" si="38"/>
        <v>0</v>
      </c>
      <c r="AD187" s="169">
        <f t="shared" si="39"/>
        <v>0</v>
      </c>
      <c r="AE187" s="274">
        <f t="shared" si="40"/>
        <v>0</v>
      </c>
      <c r="AF187" s="169">
        <f t="shared" si="46"/>
        <v>0</v>
      </c>
      <c r="AG187" s="274">
        <f t="shared" si="41"/>
        <v>0</v>
      </c>
      <c r="AH187" s="169">
        <f t="shared" si="47"/>
        <v>0</v>
      </c>
      <c r="AI187" s="169"/>
      <c r="AJ187" s="169">
        <f t="shared" si="48"/>
        <v>0</v>
      </c>
      <c r="AK187" s="169">
        <f t="shared" si="49"/>
        <v>0</v>
      </c>
      <c r="AL187" s="169"/>
      <c r="AM187" s="169"/>
      <c r="AN187" s="169"/>
      <c r="AQ187" s="169"/>
      <c r="AW187" s="144">
        <f t="shared" si="50"/>
        <v>0</v>
      </c>
    </row>
    <row r="188" spans="1:49" ht="9.75" thickBot="1">
      <c r="A188" s="175"/>
      <c r="B188" s="176"/>
      <c r="C188" s="176"/>
      <c r="D188" s="170" t="str">
        <f>VLOOKUP(C188,Tabelændringskode,2,1)</f>
        <v xml:space="preserve"> </v>
      </c>
      <c r="E188" s="178"/>
      <c r="F188" s="288">
        <v>0</v>
      </c>
      <c r="G188" s="178">
        <v>37</v>
      </c>
      <c r="H188" s="178">
        <v>37</v>
      </c>
      <c r="I188" s="178"/>
      <c r="J188" s="180"/>
      <c r="K188" s="178"/>
      <c r="L188" s="180"/>
      <c r="M188" s="180"/>
      <c r="N188" s="178"/>
      <c r="O188" s="178"/>
      <c r="P188" s="178"/>
      <c r="Q188" s="171">
        <f>AS188</f>
        <v>0</v>
      </c>
      <c r="R188" s="171">
        <f>AT188</f>
        <v>0</v>
      </c>
      <c r="S188" s="172">
        <f>AU188</f>
        <v>0</v>
      </c>
      <c r="U188" s="144">
        <f>IF(OR(C187=5,C188=5),0,1)</f>
        <v>1</v>
      </c>
      <c r="V188" s="144">
        <f t="shared" si="42"/>
        <v>0</v>
      </c>
      <c r="W188" s="144">
        <f t="shared" si="43"/>
        <v>0</v>
      </c>
      <c r="X188" s="144">
        <f t="shared" si="52"/>
        <v>0</v>
      </c>
      <c r="Y188" s="144">
        <f t="shared" si="44"/>
        <v>31.779800000000002</v>
      </c>
      <c r="Z188" s="169">
        <f t="shared" si="36"/>
        <v>0</v>
      </c>
      <c r="AA188" s="274">
        <f t="shared" si="37"/>
        <v>0</v>
      </c>
      <c r="AB188" s="169">
        <f t="shared" si="45"/>
        <v>0</v>
      </c>
      <c r="AC188" s="274">
        <f t="shared" si="38"/>
        <v>0</v>
      </c>
      <c r="AD188" s="169">
        <f t="shared" si="39"/>
        <v>0</v>
      </c>
      <c r="AE188" s="274">
        <f t="shared" si="40"/>
        <v>0</v>
      </c>
      <c r="AF188" s="169">
        <f t="shared" si="46"/>
        <v>0</v>
      </c>
      <c r="AG188" s="274">
        <f t="shared" si="41"/>
        <v>0</v>
      </c>
      <c r="AH188" s="169">
        <f t="shared" si="47"/>
        <v>0</v>
      </c>
      <c r="AI188" s="169"/>
      <c r="AJ188" s="169">
        <f t="shared" si="48"/>
        <v>0</v>
      </c>
      <c r="AK188" s="169">
        <f t="shared" si="49"/>
        <v>0</v>
      </c>
      <c r="AL188" s="169"/>
      <c r="AM188" s="169">
        <f>AK187*W187+AK188*W188</f>
        <v>0</v>
      </c>
      <c r="AN188" s="169">
        <f>(SUM(AD187:AG187)*W187+SUM(AD188:AG188)*W188)*12*VLOOKUP(C188,JNovergang,3,1)</f>
        <v>0</v>
      </c>
      <c r="AO188" s="169">
        <f>AM188-AN188</f>
        <v>0</v>
      </c>
      <c r="AP188" s="169">
        <f>M188*(100+X188)%</f>
        <v>0</v>
      </c>
      <c r="AQ188" s="274">
        <f>ROUND(M188*F188,2)</f>
        <v>0</v>
      </c>
      <c r="AS188" s="274">
        <f>ROUND((AP188+AQ188)+AM188*(N188/12),0)</f>
        <v>0</v>
      </c>
      <c r="AT188" s="274">
        <f>ROUND(AM188*(O188/12),0)</f>
        <v>0</v>
      </c>
      <c r="AU188" s="274">
        <f>ROUND(AM188*(P188/12)*U188,0)</f>
        <v>0</v>
      </c>
      <c r="AW188" s="144">
        <f t="shared" si="50"/>
        <v>0</v>
      </c>
    </row>
    <row r="189" spans="1:49">
      <c r="A189" s="173"/>
      <c r="B189" s="174"/>
      <c r="C189" s="174"/>
      <c r="D189" s="165" t="str">
        <f t="shared" si="51"/>
        <v xml:space="preserve"> </v>
      </c>
      <c r="E189" s="177"/>
      <c r="F189" s="287">
        <v>0</v>
      </c>
      <c r="G189" s="177">
        <v>37</v>
      </c>
      <c r="H189" s="177">
        <v>37</v>
      </c>
      <c r="I189" s="177"/>
      <c r="J189" s="179"/>
      <c r="K189" s="177"/>
      <c r="L189" s="179"/>
      <c r="M189" s="166"/>
      <c r="N189" s="166"/>
      <c r="O189" s="166"/>
      <c r="P189" s="166"/>
      <c r="Q189" s="167"/>
      <c r="R189" s="167"/>
      <c r="S189" s="168"/>
      <c r="V189" s="144">
        <f t="shared" si="42"/>
        <v>0</v>
      </c>
      <c r="W189" s="144">
        <f t="shared" si="43"/>
        <v>0</v>
      </c>
      <c r="X189" s="144">
        <f t="shared" si="52"/>
        <v>0</v>
      </c>
      <c r="Y189" s="144">
        <f t="shared" si="44"/>
        <v>31.779800000000002</v>
      </c>
      <c r="Z189" s="169">
        <f t="shared" si="36"/>
        <v>0</v>
      </c>
      <c r="AA189" s="274">
        <f t="shared" si="37"/>
        <v>0</v>
      </c>
      <c r="AB189" s="169">
        <f t="shared" si="45"/>
        <v>0</v>
      </c>
      <c r="AC189" s="274">
        <f t="shared" si="38"/>
        <v>0</v>
      </c>
      <c r="AD189" s="169">
        <f t="shared" si="39"/>
        <v>0</v>
      </c>
      <c r="AE189" s="274">
        <f t="shared" si="40"/>
        <v>0</v>
      </c>
      <c r="AF189" s="169">
        <f t="shared" si="46"/>
        <v>0</v>
      </c>
      <c r="AG189" s="274">
        <f t="shared" si="41"/>
        <v>0</v>
      </c>
      <c r="AH189" s="169">
        <f t="shared" si="47"/>
        <v>0</v>
      </c>
      <c r="AI189" s="169"/>
      <c r="AJ189" s="169">
        <f t="shared" si="48"/>
        <v>0</v>
      </c>
      <c r="AK189" s="169">
        <f t="shared" si="49"/>
        <v>0</v>
      </c>
      <c r="AL189" s="169"/>
      <c r="AM189" s="169"/>
      <c r="AN189" s="169"/>
      <c r="AQ189" s="169"/>
      <c r="AW189" s="144">
        <f t="shared" si="50"/>
        <v>0</v>
      </c>
    </row>
    <row r="190" spans="1:49" ht="9.75" thickBot="1">
      <c r="A190" s="175"/>
      <c r="B190" s="176"/>
      <c r="C190" s="176"/>
      <c r="D190" s="170" t="str">
        <f>VLOOKUP(C190,Tabelændringskode,2,1)</f>
        <v xml:space="preserve"> </v>
      </c>
      <c r="E190" s="178"/>
      <c r="F190" s="288">
        <v>0</v>
      </c>
      <c r="G190" s="178">
        <v>37</v>
      </c>
      <c r="H190" s="178">
        <v>37</v>
      </c>
      <c r="I190" s="178"/>
      <c r="J190" s="180"/>
      <c r="K190" s="178"/>
      <c r="L190" s="180"/>
      <c r="M190" s="180"/>
      <c r="N190" s="178"/>
      <c r="O190" s="178"/>
      <c r="P190" s="178"/>
      <c r="Q190" s="171">
        <f>AS190</f>
        <v>0</v>
      </c>
      <c r="R190" s="171">
        <f>AT190</f>
        <v>0</v>
      </c>
      <c r="S190" s="172">
        <f>AU190</f>
        <v>0</v>
      </c>
      <c r="U190" s="144">
        <f>IF(OR(C189=5,C190=5),0,1)</f>
        <v>1</v>
      </c>
      <c r="V190" s="144">
        <f t="shared" si="42"/>
        <v>0</v>
      </c>
      <c r="W190" s="144">
        <f t="shared" si="43"/>
        <v>0</v>
      </c>
      <c r="X190" s="144">
        <f t="shared" si="52"/>
        <v>0</v>
      </c>
      <c r="Y190" s="144">
        <f t="shared" si="44"/>
        <v>31.779800000000002</v>
      </c>
      <c r="Z190" s="169">
        <f t="shared" si="36"/>
        <v>0</v>
      </c>
      <c r="AA190" s="274">
        <f t="shared" si="37"/>
        <v>0</v>
      </c>
      <c r="AB190" s="169">
        <f t="shared" si="45"/>
        <v>0</v>
      </c>
      <c r="AC190" s="274">
        <f t="shared" si="38"/>
        <v>0</v>
      </c>
      <c r="AD190" s="169">
        <f t="shared" si="39"/>
        <v>0</v>
      </c>
      <c r="AE190" s="274">
        <f t="shared" si="40"/>
        <v>0</v>
      </c>
      <c r="AF190" s="169">
        <f t="shared" si="46"/>
        <v>0</v>
      </c>
      <c r="AG190" s="274">
        <f t="shared" si="41"/>
        <v>0</v>
      </c>
      <c r="AH190" s="169">
        <f t="shared" si="47"/>
        <v>0</v>
      </c>
      <c r="AI190" s="169"/>
      <c r="AJ190" s="169">
        <f t="shared" si="48"/>
        <v>0</v>
      </c>
      <c r="AK190" s="169">
        <f t="shared" si="49"/>
        <v>0</v>
      </c>
      <c r="AL190" s="169"/>
      <c r="AM190" s="169">
        <f>AK189*W189+AK190*W190</f>
        <v>0</v>
      </c>
      <c r="AN190" s="169">
        <f>(SUM(AD189:AG189)*W189+SUM(AD190:AG190)*W190)*12*VLOOKUP(C190,JNovergang,3,1)</f>
        <v>0</v>
      </c>
      <c r="AO190" s="169">
        <f>AM190-AN190</f>
        <v>0</v>
      </c>
      <c r="AP190" s="169">
        <f>M190*(100+X190)%</f>
        <v>0</v>
      </c>
      <c r="AQ190" s="274">
        <f>ROUND(M190*F190,2)</f>
        <v>0</v>
      </c>
      <c r="AS190" s="274">
        <f>ROUND((AP190+AQ190)+AM190*(N190/12),0)</f>
        <v>0</v>
      </c>
      <c r="AT190" s="274">
        <f>ROUND(AM190*(O190/12),0)</f>
        <v>0</v>
      </c>
      <c r="AU190" s="274">
        <f>ROUND(AM190*(P190/12)*U190,0)</f>
        <v>0</v>
      </c>
      <c r="AW190" s="144">
        <f t="shared" si="50"/>
        <v>0</v>
      </c>
    </row>
    <row r="191" spans="1:49">
      <c r="A191" s="173"/>
      <c r="B191" s="174"/>
      <c r="C191" s="174"/>
      <c r="D191" s="165" t="str">
        <f t="shared" si="51"/>
        <v xml:space="preserve"> </v>
      </c>
      <c r="E191" s="177"/>
      <c r="F191" s="287">
        <v>0</v>
      </c>
      <c r="G191" s="177">
        <v>37</v>
      </c>
      <c r="H191" s="177">
        <v>37</v>
      </c>
      <c r="I191" s="177"/>
      <c r="J191" s="179"/>
      <c r="K191" s="177"/>
      <c r="L191" s="179"/>
      <c r="M191" s="166"/>
      <c r="N191" s="166"/>
      <c r="O191" s="166"/>
      <c r="P191" s="166"/>
      <c r="Q191" s="167"/>
      <c r="R191" s="167"/>
      <c r="S191" s="168"/>
      <c r="V191" s="144">
        <f t="shared" si="42"/>
        <v>0</v>
      </c>
      <c r="W191" s="144">
        <f t="shared" si="43"/>
        <v>0</v>
      </c>
      <c r="X191" s="144">
        <f t="shared" si="52"/>
        <v>0</v>
      </c>
      <c r="Y191" s="144">
        <f t="shared" si="44"/>
        <v>31.779800000000002</v>
      </c>
      <c r="Z191" s="169">
        <f t="shared" si="36"/>
        <v>0</v>
      </c>
      <c r="AA191" s="274">
        <f t="shared" si="37"/>
        <v>0</v>
      </c>
      <c r="AB191" s="169">
        <f t="shared" si="45"/>
        <v>0</v>
      </c>
      <c r="AC191" s="274">
        <f t="shared" si="38"/>
        <v>0</v>
      </c>
      <c r="AD191" s="169">
        <f t="shared" si="39"/>
        <v>0</v>
      </c>
      <c r="AE191" s="274">
        <f t="shared" si="40"/>
        <v>0</v>
      </c>
      <c r="AF191" s="169">
        <f t="shared" si="46"/>
        <v>0</v>
      </c>
      <c r="AG191" s="274">
        <f t="shared" si="41"/>
        <v>0</v>
      </c>
      <c r="AH191" s="169">
        <f t="shared" si="47"/>
        <v>0</v>
      </c>
      <c r="AI191" s="169"/>
      <c r="AJ191" s="169">
        <f t="shared" si="48"/>
        <v>0</v>
      </c>
      <c r="AK191" s="169">
        <f t="shared" si="49"/>
        <v>0</v>
      </c>
      <c r="AL191" s="169"/>
      <c r="AM191" s="169"/>
      <c r="AN191" s="169"/>
      <c r="AQ191" s="169"/>
      <c r="AW191" s="144">
        <f t="shared" si="50"/>
        <v>0</v>
      </c>
    </row>
    <row r="192" spans="1:49" ht="9.75" thickBot="1">
      <c r="A192" s="175"/>
      <c r="B192" s="176"/>
      <c r="C192" s="176"/>
      <c r="D192" s="170" t="str">
        <f>VLOOKUP(C192,Tabelændringskode,2,1)</f>
        <v xml:space="preserve"> </v>
      </c>
      <c r="E192" s="178"/>
      <c r="F192" s="288">
        <v>0</v>
      </c>
      <c r="G192" s="178">
        <v>37</v>
      </c>
      <c r="H192" s="178">
        <v>37</v>
      </c>
      <c r="I192" s="178"/>
      <c r="J192" s="180"/>
      <c r="K192" s="178"/>
      <c r="L192" s="180"/>
      <c r="M192" s="180"/>
      <c r="N192" s="178"/>
      <c r="O192" s="178"/>
      <c r="P192" s="178"/>
      <c r="Q192" s="171">
        <f>AS192</f>
        <v>0</v>
      </c>
      <c r="R192" s="171">
        <f>AT192</f>
        <v>0</v>
      </c>
      <c r="S192" s="172">
        <f>AU192</f>
        <v>0</v>
      </c>
      <c r="U192" s="144">
        <f>IF(OR(C191=5,C192=5),0,1)</f>
        <v>1</v>
      </c>
      <c r="V192" s="144">
        <f t="shared" si="42"/>
        <v>0</v>
      </c>
      <c r="W192" s="144">
        <f t="shared" si="43"/>
        <v>0</v>
      </c>
      <c r="X192" s="144">
        <f t="shared" si="52"/>
        <v>0</v>
      </c>
      <c r="Y192" s="144">
        <f t="shared" si="44"/>
        <v>31.779800000000002</v>
      </c>
      <c r="Z192" s="169">
        <f t="shared" si="36"/>
        <v>0</v>
      </c>
      <c r="AA192" s="274">
        <f t="shared" si="37"/>
        <v>0</v>
      </c>
      <c r="AB192" s="169">
        <f t="shared" si="45"/>
        <v>0</v>
      </c>
      <c r="AC192" s="274">
        <f t="shared" si="38"/>
        <v>0</v>
      </c>
      <c r="AD192" s="169">
        <f t="shared" si="39"/>
        <v>0</v>
      </c>
      <c r="AE192" s="274">
        <f t="shared" si="40"/>
        <v>0</v>
      </c>
      <c r="AF192" s="169">
        <f t="shared" si="46"/>
        <v>0</v>
      </c>
      <c r="AG192" s="274">
        <f t="shared" si="41"/>
        <v>0</v>
      </c>
      <c r="AH192" s="169">
        <f t="shared" si="47"/>
        <v>0</v>
      </c>
      <c r="AI192" s="169"/>
      <c r="AJ192" s="169">
        <f t="shared" si="48"/>
        <v>0</v>
      </c>
      <c r="AK192" s="169">
        <f t="shared" si="49"/>
        <v>0</v>
      </c>
      <c r="AL192" s="169"/>
      <c r="AM192" s="169">
        <f>AK191*W191+AK192*W192</f>
        <v>0</v>
      </c>
      <c r="AN192" s="169">
        <f>(SUM(AD191:AG191)*W191+SUM(AD192:AG192)*W192)*12*VLOOKUP(C192,JNovergang,3,1)</f>
        <v>0</v>
      </c>
      <c r="AO192" s="169">
        <f>AM192-AN192</f>
        <v>0</v>
      </c>
      <c r="AP192" s="169">
        <f>M192*(100+X192)%</f>
        <v>0</v>
      </c>
      <c r="AQ192" s="274">
        <f>ROUND(M192*F192,2)</f>
        <v>0</v>
      </c>
      <c r="AS192" s="274">
        <f>ROUND((AP192+AQ192)+AM192*(N192/12),0)</f>
        <v>0</v>
      </c>
      <c r="AT192" s="274">
        <f>ROUND(AM192*(O192/12),0)</f>
        <v>0</v>
      </c>
      <c r="AU192" s="274">
        <f>ROUND(AM192*(P192/12)*U192,0)</f>
        <v>0</v>
      </c>
      <c r="AW192" s="144">
        <f t="shared" si="50"/>
        <v>0</v>
      </c>
    </row>
    <row r="193" spans="1:49">
      <c r="A193" s="173"/>
      <c r="B193" s="174"/>
      <c r="C193" s="174"/>
      <c r="D193" s="165" t="str">
        <f t="shared" si="51"/>
        <v xml:space="preserve"> </v>
      </c>
      <c r="E193" s="177"/>
      <c r="F193" s="287">
        <v>0</v>
      </c>
      <c r="G193" s="177">
        <v>37</v>
      </c>
      <c r="H193" s="177">
        <v>37</v>
      </c>
      <c r="I193" s="177"/>
      <c r="J193" s="179"/>
      <c r="K193" s="177"/>
      <c r="L193" s="179"/>
      <c r="M193" s="166"/>
      <c r="N193" s="166"/>
      <c r="O193" s="166"/>
      <c r="P193" s="166"/>
      <c r="Q193" s="167"/>
      <c r="R193" s="167"/>
      <c r="S193" s="168"/>
      <c r="V193" s="144">
        <f t="shared" si="42"/>
        <v>0</v>
      </c>
      <c r="W193" s="144">
        <f t="shared" si="43"/>
        <v>0</v>
      </c>
      <c r="X193" s="144">
        <f t="shared" si="52"/>
        <v>0</v>
      </c>
      <c r="Y193" s="144">
        <f t="shared" si="44"/>
        <v>31.779800000000002</v>
      </c>
      <c r="Z193" s="169">
        <f t="shared" si="36"/>
        <v>0</v>
      </c>
      <c r="AA193" s="274">
        <f t="shared" si="37"/>
        <v>0</v>
      </c>
      <c r="AB193" s="169">
        <f t="shared" si="45"/>
        <v>0</v>
      </c>
      <c r="AC193" s="274">
        <f t="shared" si="38"/>
        <v>0</v>
      </c>
      <c r="AD193" s="169">
        <f t="shared" si="39"/>
        <v>0</v>
      </c>
      <c r="AE193" s="274">
        <f t="shared" si="40"/>
        <v>0</v>
      </c>
      <c r="AF193" s="169">
        <f t="shared" si="46"/>
        <v>0</v>
      </c>
      <c r="AG193" s="274">
        <f t="shared" si="41"/>
        <v>0</v>
      </c>
      <c r="AH193" s="169">
        <f t="shared" si="47"/>
        <v>0</v>
      </c>
      <c r="AI193" s="169"/>
      <c r="AJ193" s="169">
        <f t="shared" si="48"/>
        <v>0</v>
      </c>
      <c r="AK193" s="169">
        <f t="shared" si="49"/>
        <v>0</v>
      </c>
      <c r="AL193" s="169"/>
      <c r="AM193" s="169"/>
      <c r="AN193" s="169"/>
      <c r="AQ193" s="169"/>
      <c r="AW193" s="144">
        <f t="shared" si="50"/>
        <v>0</v>
      </c>
    </row>
    <row r="194" spans="1:49" ht="9.75" thickBot="1">
      <c r="A194" s="175"/>
      <c r="B194" s="176"/>
      <c r="C194" s="176"/>
      <c r="D194" s="170" t="str">
        <f>VLOOKUP(C194,Tabelændringskode,2,1)</f>
        <v xml:space="preserve"> </v>
      </c>
      <c r="E194" s="178"/>
      <c r="F194" s="288">
        <v>0</v>
      </c>
      <c r="G194" s="178">
        <v>37</v>
      </c>
      <c r="H194" s="178">
        <v>37</v>
      </c>
      <c r="I194" s="178"/>
      <c r="J194" s="180"/>
      <c r="K194" s="178"/>
      <c r="L194" s="180"/>
      <c r="M194" s="180"/>
      <c r="N194" s="178"/>
      <c r="O194" s="178"/>
      <c r="P194" s="178"/>
      <c r="Q194" s="171">
        <f>AS194</f>
        <v>0</v>
      </c>
      <c r="R194" s="171">
        <f>AT194</f>
        <v>0</v>
      </c>
      <c r="S194" s="172">
        <f>AU194</f>
        <v>0</v>
      </c>
      <c r="U194" s="144">
        <f>IF(OR(C193=5,C194=5),0,1)</f>
        <v>1</v>
      </c>
      <c r="V194" s="144">
        <f t="shared" si="42"/>
        <v>0</v>
      </c>
      <c r="W194" s="144">
        <f t="shared" si="43"/>
        <v>0</v>
      </c>
      <c r="X194" s="144">
        <f t="shared" si="52"/>
        <v>0</v>
      </c>
      <c r="Y194" s="144">
        <f t="shared" si="44"/>
        <v>31.779800000000002</v>
      </c>
      <c r="Z194" s="169">
        <f t="shared" si="36"/>
        <v>0</v>
      </c>
      <c r="AA194" s="274">
        <f t="shared" si="37"/>
        <v>0</v>
      </c>
      <c r="AB194" s="169">
        <f t="shared" si="45"/>
        <v>0</v>
      </c>
      <c r="AC194" s="274">
        <f t="shared" si="38"/>
        <v>0</v>
      </c>
      <c r="AD194" s="169">
        <f t="shared" si="39"/>
        <v>0</v>
      </c>
      <c r="AE194" s="274">
        <f t="shared" si="40"/>
        <v>0</v>
      </c>
      <c r="AF194" s="169">
        <f t="shared" si="46"/>
        <v>0</v>
      </c>
      <c r="AG194" s="274">
        <f t="shared" si="41"/>
        <v>0</v>
      </c>
      <c r="AH194" s="169">
        <f t="shared" si="47"/>
        <v>0</v>
      </c>
      <c r="AI194" s="169"/>
      <c r="AJ194" s="169">
        <f t="shared" si="48"/>
        <v>0</v>
      </c>
      <c r="AK194" s="169">
        <f t="shared" si="49"/>
        <v>0</v>
      </c>
      <c r="AL194" s="169"/>
      <c r="AM194" s="169">
        <f>AK193*W193+AK194*W194</f>
        <v>0</v>
      </c>
      <c r="AN194" s="169">
        <f>(SUM(AD193:AG193)*W193+SUM(AD194:AG194)*W194)*12*VLOOKUP(C194,JNovergang,3,1)</f>
        <v>0</v>
      </c>
      <c r="AO194" s="169">
        <f>AM194-AN194</f>
        <v>0</v>
      </c>
      <c r="AP194" s="169">
        <f>M194*(100+X194)%</f>
        <v>0</v>
      </c>
      <c r="AQ194" s="274">
        <f>ROUND(M194*F194,2)</f>
        <v>0</v>
      </c>
      <c r="AS194" s="274">
        <f>ROUND((AP194+AQ194)+AM194*(N194/12),0)</f>
        <v>0</v>
      </c>
      <c r="AT194" s="274">
        <f>ROUND(AM194*(O194/12),0)</f>
        <v>0</v>
      </c>
      <c r="AU194" s="274">
        <f>ROUND(AM194*(P194/12)*U194,0)</f>
        <v>0</v>
      </c>
      <c r="AW194" s="144">
        <f t="shared" si="50"/>
        <v>0</v>
      </c>
    </row>
    <row r="195" spans="1:49">
      <c r="A195" s="173"/>
      <c r="B195" s="174"/>
      <c r="C195" s="174"/>
      <c r="D195" s="165" t="str">
        <f t="shared" si="51"/>
        <v xml:space="preserve"> </v>
      </c>
      <c r="E195" s="177"/>
      <c r="F195" s="287">
        <v>0</v>
      </c>
      <c r="G195" s="177">
        <v>37</v>
      </c>
      <c r="H195" s="177">
        <v>37</v>
      </c>
      <c r="I195" s="177"/>
      <c r="J195" s="179"/>
      <c r="K195" s="177"/>
      <c r="L195" s="179"/>
      <c r="M195" s="166"/>
      <c r="N195" s="166"/>
      <c r="O195" s="166"/>
      <c r="P195" s="166"/>
      <c r="Q195" s="167"/>
      <c r="R195" s="167"/>
      <c r="S195" s="168"/>
      <c r="V195" s="144">
        <f t="shared" si="42"/>
        <v>0</v>
      </c>
      <c r="W195" s="144">
        <f t="shared" si="43"/>
        <v>0</v>
      </c>
      <c r="X195" s="144">
        <f t="shared" si="52"/>
        <v>0</v>
      </c>
      <c r="Y195" s="144">
        <f t="shared" si="44"/>
        <v>31.779800000000002</v>
      </c>
      <c r="Z195" s="169">
        <f t="shared" si="36"/>
        <v>0</v>
      </c>
      <c r="AA195" s="274">
        <f t="shared" si="37"/>
        <v>0</v>
      </c>
      <c r="AB195" s="169">
        <f t="shared" si="45"/>
        <v>0</v>
      </c>
      <c r="AC195" s="274">
        <f t="shared" si="38"/>
        <v>0</v>
      </c>
      <c r="AD195" s="169">
        <f t="shared" si="39"/>
        <v>0</v>
      </c>
      <c r="AE195" s="274">
        <f t="shared" si="40"/>
        <v>0</v>
      </c>
      <c r="AF195" s="169">
        <f t="shared" si="46"/>
        <v>0</v>
      </c>
      <c r="AG195" s="274">
        <f t="shared" si="41"/>
        <v>0</v>
      </c>
      <c r="AH195" s="169">
        <f t="shared" si="47"/>
        <v>0</v>
      </c>
      <c r="AI195" s="169"/>
      <c r="AJ195" s="169">
        <f t="shared" si="48"/>
        <v>0</v>
      </c>
      <c r="AK195" s="169">
        <f t="shared" si="49"/>
        <v>0</v>
      </c>
      <c r="AL195" s="169"/>
      <c r="AM195" s="169"/>
      <c r="AN195" s="169"/>
      <c r="AQ195" s="169"/>
      <c r="AW195" s="144">
        <f t="shared" si="50"/>
        <v>0</v>
      </c>
    </row>
    <row r="196" spans="1:49" ht="9.75" thickBot="1">
      <c r="A196" s="175"/>
      <c r="B196" s="176"/>
      <c r="C196" s="176"/>
      <c r="D196" s="170" t="str">
        <f>VLOOKUP(C196,Tabelændringskode,2,1)</f>
        <v xml:space="preserve"> </v>
      </c>
      <c r="E196" s="178"/>
      <c r="F196" s="288">
        <v>0</v>
      </c>
      <c r="G196" s="178">
        <v>37</v>
      </c>
      <c r="H196" s="178">
        <v>37</v>
      </c>
      <c r="I196" s="178"/>
      <c r="J196" s="180"/>
      <c r="K196" s="178"/>
      <c r="L196" s="180"/>
      <c r="M196" s="180"/>
      <c r="N196" s="178"/>
      <c r="O196" s="178"/>
      <c r="P196" s="178"/>
      <c r="Q196" s="171">
        <f>AS196</f>
        <v>0</v>
      </c>
      <c r="R196" s="171">
        <f>AT196</f>
        <v>0</v>
      </c>
      <c r="S196" s="172">
        <f>AU196</f>
        <v>0</v>
      </c>
      <c r="U196" s="144">
        <f>IF(OR(C195=5,C196=5),0,1)</f>
        <v>1</v>
      </c>
      <c r="V196" s="144">
        <f t="shared" si="42"/>
        <v>0</v>
      </c>
      <c r="W196" s="144">
        <f t="shared" si="43"/>
        <v>0</v>
      </c>
      <c r="X196" s="144">
        <f t="shared" si="52"/>
        <v>0</v>
      </c>
      <c r="Y196" s="144">
        <f t="shared" si="44"/>
        <v>31.779800000000002</v>
      </c>
      <c r="Z196" s="169">
        <f t="shared" si="36"/>
        <v>0</v>
      </c>
      <c r="AA196" s="274">
        <f t="shared" si="37"/>
        <v>0</v>
      </c>
      <c r="AB196" s="169">
        <f t="shared" si="45"/>
        <v>0</v>
      </c>
      <c r="AC196" s="274">
        <f t="shared" si="38"/>
        <v>0</v>
      </c>
      <c r="AD196" s="169">
        <f t="shared" si="39"/>
        <v>0</v>
      </c>
      <c r="AE196" s="274">
        <f t="shared" si="40"/>
        <v>0</v>
      </c>
      <c r="AF196" s="169">
        <f t="shared" si="46"/>
        <v>0</v>
      </c>
      <c r="AG196" s="274">
        <f t="shared" si="41"/>
        <v>0</v>
      </c>
      <c r="AH196" s="169">
        <f t="shared" si="47"/>
        <v>0</v>
      </c>
      <c r="AI196" s="169"/>
      <c r="AJ196" s="169">
        <f t="shared" si="48"/>
        <v>0</v>
      </c>
      <c r="AK196" s="169">
        <f t="shared" si="49"/>
        <v>0</v>
      </c>
      <c r="AL196" s="169"/>
      <c r="AM196" s="169">
        <f>AK195*W195+AK196*W196</f>
        <v>0</v>
      </c>
      <c r="AN196" s="169">
        <f>(SUM(AD195:AG195)*W195+SUM(AD196:AG196)*W196)*12*VLOOKUP(C196,JNovergang,3,1)</f>
        <v>0</v>
      </c>
      <c r="AO196" s="169">
        <f>AM196-AN196</f>
        <v>0</v>
      </c>
      <c r="AP196" s="169">
        <f>M196*(100+X196)%</f>
        <v>0</v>
      </c>
      <c r="AQ196" s="274">
        <f>ROUND(M196*F196,2)</f>
        <v>0</v>
      </c>
      <c r="AS196" s="274">
        <f>ROUND((AP196+AQ196)+AM196*(N196/12),0)</f>
        <v>0</v>
      </c>
      <c r="AT196" s="274">
        <f>ROUND(AM196*(O196/12),0)</f>
        <v>0</v>
      </c>
      <c r="AU196" s="274">
        <f>ROUND(AM196*(P196/12)*U196,0)</f>
        <v>0</v>
      </c>
      <c r="AW196" s="144">
        <f t="shared" si="50"/>
        <v>0</v>
      </c>
    </row>
    <row r="197" spans="1:49">
      <c r="A197" s="173"/>
      <c r="B197" s="174"/>
      <c r="C197" s="174"/>
      <c r="D197" s="165" t="str">
        <f t="shared" ref="D197:D259" si="53">VLOOKUP(C197,Tabelændringskode,2,1)</f>
        <v xml:space="preserve"> </v>
      </c>
      <c r="E197" s="177"/>
      <c r="F197" s="287">
        <v>0</v>
      </c>
      <c r="G197" s="177">
        <v>37</v>
      </c>
      <c r="H197" s="177">
        <v>37</v>
      </c>
      <c r="I197" s="177"/>
      <c r="J197" s="179"/>
      <c r="K197" s="177"/>
      <c r="L197" s="179"/>
      <c r="M197" s="166"/>
      <c r="N197" s="166"/>
      <c r="O197" s="166"/>
      <c r="P197" s="166"/>
      <c r="Q197" s="167"/>
      <c r="R197" s="167"/>
      <c r="S197" s="168"/>
      <c r="V197" s="144">
        <f t="shared" si="42"/>
        <v>0</v>
      </c>
      <c r="W197" s="144">
        <f t="shared" si="43"/>
        <v>0</v>
      </c>
      <c r="X197" s="144">
        <f t="shared" si="52"/>
        <v>0</v>
      </c>
      <c r="Y197" s="144">
        <f t="shared" si="44"/>
        <v>31.779800000000002</v>
      </c>
      <c r="Z197" s="169">
        <f t="shared" si="36"/>
        <v>0</v>
      </c>
      <c r="AA197" s="274">
        <f t="shared" si="37"/>
        <v>0</v>
      </c>
      <c r="AB197" s="169">
        <f t="shared" si="45"/>
        <v>0</v>
      </c>
      <c r="AC197" s="274">
        <f t="shared" si="38"/>
        <v>0</v>
      </c>
      <c r="AD197" s="169">
        <f t="shared" si="39"/>
        <v>0</v>
      </c>
      <c r="AE197" s="274">
        <f t="shared" si="40"/>
        <v>0</v>
      </c>
      <c r="AF197" s="169">
        <f t="shared" si="46"/>
        <v>0</v>
      </c>
      <c r="AG197" s="274">
        <f t="shared" si="41"/>
        <v>0</v>
      </c>
      <c r="AH197" s="169">
        <f t="shared" si="47"/>
        <v>0</v>
      </c>
      <c r="AI197" s="169"/>
      <c r="AJ197" s="169">
        <f t="shared" si="48"/>
        <v>0</v>
      </c>
      <c r="AK197" s="169">
        <f t="shared" si="49"/>
        <v>0</v>
      </c>
      <c r="AL197" s="169"/>
      <c r="AM197" s="169"/>
      <c r="AN197" s="169"/>
      <c r="AQ197" s="169"/>
      <c r="AW197" s="144">
        <f t="shared" si="50"/>
        <v>0</v>
      </c>
    </row>
    <row r="198" spans="1:49" ht="9.75" thickBot="1">
      <c r="A198" s="175"/>
      <c r="B198" s="176"/>
      <c r="C198" s="176"/>
      <c r="D198" s="170" t="str">
        <f t="shared" si="53"/>
        <v xml:space="preserve"> </v>
      </c>
      <c r="E198" s="178"/>
      <c r="F198" s="288">
        <v>0</v>
      </c>
      <c r="G198" s="178">
        <v>37</v>
      </c>
      <c r="H198" s="178">
        <v>37</v>
      </c>
      <c r="I198" s="178"/>
      <c r="J198" s="180"/>
      <c r="K198" s="178"/>
      <c r="L198" s="180"/>
      <c r="M198" s="180"/>
      <c r="N198" s="178"/>
      <c r="O198" s="178"/>
      <c r="P198" s="178"/>
      <c r="Q198" s="171">
        <f>AS198</f>
        <v>0</v>
      </c>
      <c r="R198" s="171">
        <f>AT198</f>
        <v>0</v>
      </c>
      <c r="S198" s="172">
        <f>AU198</f>
        <v>0</v>
      </c>
      <c r="U198" s="144">
        <f>IF(OR(C197=5,C198=5),0,1)</f>
        <v>1</v>
      </c>
      <c r="V198" s="144">
        <f t="shared" si="42"/>
        <v>0</v>
      </c>
      <c r="W198" s="144">
        <f t="shared" si="43"/>
        <v>0</v>
      </c>
      <c r="X198" s="144">
        <f t="shared" si="52"/>
        <v>0</v>
      </c>
      <c r="Y198" s="144">
        <f t="shared" si="44"/>
        <v>31.779800000000002</v>
      </c>
      <c r="Z198" s="169">
        <f t="shared" si="36"/>
        <v>0</v>
      </c>
      <c r="AA198" s="274">
        <f t="shared" si="37"/>
        <v>0</v>
      </c>
      <c r="AB198" s="169">
        <f t="shared" si="45"/>
        <v>0</v>
      </c>
      <c r="AC198" s="274">
        <f t="shared" si="38"/>
        <v>0</v>
      </c>
      <c r="AD198" s="169">
        <f t="shared" si="39"/>
        <v>0</v>
      </c>
      <c r="AE198" s="274">
        <f t="shared" si="40"/>
        <v>0</v>
      </c>
      <c r="AF198" s="169">
        <f t="shared" si="46"/>
        <v>0</v>
      </c>
      <c r="AG198" s="274">
        <f t="shared" si="41"/>
        <v>0</v>
      </c>
      <c r="AH198" s="169">
        <f t="shared" si="47"/>
        <v>0</v>
      </c>
      <c r="AI198" s="169"/>
      <c r="AJ198" s="169">
        <f t="shared" si="48"/>
        <v>0</v>
      </c>
      <c r="AK198" s="169">
        <f t="shared" si="49"/>
        <v>0</v>
      </c>
      <c r="AL198" s="169"/>
      <c r="AM198" s="169">
        <f>AK197*W197+AK198*W198</f>
        <v>0</v>
      </c>
      <c r="AN198" s="169">
        <f>(SUM(AD197:AG197)*W197+SUM(AD198:AG198)*W198)*12*VLOOKUP(C198,JNovergang,3,1)</f>
        <v>0</v>
      </c>
      <c r="AO198" s="169">
        <f>AM198-AN198</f>
        <v>0</v>
      </c>
      <c r="AP198" s="169">
        <f>M198*(100+X198)%</f>
        <v>0</v>
      </c>
      <c r="AQ198" s="274">
        <f>ROUND(M198*F198,2)</f>
        <v>0</v>
      </c>
      <c r="AS198" s="274">
        <f>ROUND((AP198+AQ198)+AM198*(N198/12),0)</f>
        <v>0</v>
      </c>
      <c r="AT198" s="274">
        <f>ROUND(AM198*(O198/12),0)</f>
        <v>0</v>
      </c>
      <c r="AU198" s="274">
        <f>ROUND(AM198*(P198/12)*U198,0)</f>
        <v>0</v>
      </c>
      <c r="AW198" s="144">
        <f t="shared" si="50"/>
        <v>0</v>
      </c>
    </row>
    <row r="199" spans="1:49">
      <c r="A199" s="173"/>
      <c r="B199" s="174"/>
      <c r="C199" s="174"/>
      <c r="D199" s="165" t="str">
        <f t="shared" si="53"/>
        <v xml:space="preserve"> </v>
      </c>
      <c r="E199" s="177"/>
      <c r="F199" s="287">
        <v>0</v>
      </c>
      <c r="G199" s="177">
        <v>37</v>
      </c>
      <c r="H199" s="177">
        <v>37</v>
      </c>
      <c r="I199" s="177"/>
      <c r="J199" s="179"/>
      <c r="K199" s="177"/>
      <c r="L199" s="179"/>
      <c r="M199" s="166"/>
      <c r="N199" s="166"/>
      <c r="O199" s="166"/>
      <c r="P199" s="166"/>
      <c r="Q199" s="167"/>
      <c r="R199" s="167"/>
      <c r="S199" s="168"/>
      <c r="V199" s="144">
        <f t="shared" si="42"/>
        <v>0</v>
      </c>
      <c r="W199" s="144">
        <f t="shared" si="43"/>
        <v>0</v>
      </c>
      <c r="X199" s="144">
        <f t="shared" si="52"/>
        <v>0</v>
      </c>
      <c r="Y199" s="144">
        <f t="shared" si="44"/>
        <v>31.779800000000002</v>
      </c>
      <c r="Z199" s="169">
        <f t="shared" si="36"/>
        <v>0</v>
      </c>
      <c r="AA199" s="274">
        <f t="shared" si="37"/>
        <v>0</v>
      </c>
      <c r="AB199" s="169">
        <f t="shared" si="45"/>
        <v>0</v>
      </c>
      <c r="AC199" s="274">
        <f t="shared" si="38"/>
        <v>0</v>
      </c>
      <c r="AD199" s="169">
        <f t="shared" si="39"/>
        <v>0</v>
      </c>
      <c r="AE199" s="274">
        <f t="shared" si="40"/>
        <v>0</v>
      </c>
      <c r="AF199" s="169">
        <f t="shared" si="46"/>
        <v>0</v>
      </c>
      <c r="AG199" s="274">
        <f t="shared" si="41"/>
        <v>0</v>
      </c>
      <c r="AH199" s="169">
        <f t="shared" si="47"/>
        <v>0</v>
      </c>
      <c r="AI199" s="169"/>
      <c r="AJ199" s="169">
        <f t="shared" si="48"/>
        <v>0</v>
      </c>
      <c r="AK199" s="169">
        <f t="shared" si="49"/>
        <v>0</v>
      </c>
      <c r="AL199" s="169"/>
      <c r="AM199" s="169"/>
      <c r="AN199" s="169"/>
      <c r="AQ199" s="169"/>
      <c r="AW199" s="144">
        <f t="shared" si="50"/>
        <v>0</v>
      </c>
    </row>
    <row r="200" spans="1:49" ht="9.75" thickBot="1">
      <c r="A200" s="175"/>
      <c r="B200" s="176"/>
      <c r="C200" s="176"/>
      <c r="D200" s="170" t="str">
        <f t="shared" si="53"/>
        <v xml:space="preserve"> </v>
      </c>
      <c r="E200" s="178"/>
      <c r="F200" s="288">
        <v>0</v>
      </c>
      <c r="G200" s="178">
        <v>37</v>
      </c>
      <c r="H200" s="178">
        <v>37</v>
      </c>
      <c r="I200" s="178"/>
      <c r="J200" s="180"/>
      <c r="K200" s="178"/>
      <c r="L200" s="180"/>
      <c r="M200" s="180"/>
      <c r="N200" s="178"/>
      <c r="O200" s="178"/>
      <c r="P200" s="178"/>
      <c r="Q200" s="171">
        <f>AS200</f>
        <v>0</v>
      </c>
      <c r="R200" s="171">
        <f>AT200</f>
        <v>0</v>
      </c>
      <c r="S200" s="172">
        <f>AU200</f>
        <v>0</v>
      </c>
      <c r="U200" s="144">
        <f>IF(OR(C199=5,C200=5),0,1)</f>
        <v>1</v>
      </c>
      <c r="V200" s="144">
        <f t="shared" si="42"/>
        <v>0</v>
      </c>
      <c r="W200" s="144">
        <f t="shared" si="43"/>
        <v>0</v>
      </c>
      <c r="X200" s="144">
        <f t="shared" si="52"/>
        <v>0</v>
      </c>
      <c r="Y200" s="144">
        <f t="shared" si="44"/>
        <v>31.779800000000002</v>
      </c>
      <c r="Z200" s="169">
        <f t="shared" si="36"/>
        <v>0</v>
      </c>
      <c r="AA200" s="274">
        <f t="shared" si="37"/>
        <v>0</v>
      </c>
      <c r="AB200" s="169">
        <f t="shared" si="45"/>
        <v>0</v>
      </c>
      <c r="AC200" s="274">
        <f t="shared" si="38"/>
        <v>0</v>
      </c>
      <c r="AD200" s="169">
        <f t="shared" si="39"/>
        <v>0</v>
      </c>
      <c r="AE200" s="274">
        <f t="shared" si="40"/>
        <v>0</v>
      </c>
      <c r="AF200" s="169">
        <f t="shared" si="46"/>
        <v>0</v>
      </c>
      <c r="AG200" s="274">
        <f t="shared" si="41"/>
        <v>0</v>
      </c>
      <c r="AH200" s="169">
        <f t="shared" si="47"/>
        <v>0</v>
      </c>
      <c r="AI200" s="169"/>
      <c r="AJ200" s="169">
        <f t="shared" si="48"/>
        <v>0</v>
      </c>
      <c r="AK200" s="169">
        <f t="shared" si="49"/>
        <v>0</v>
      </c>
      <c r="AL200" s="169"/>
      <c r="AM200" s="169">
        <f>AK199*W199+AK200*W200</f>
        <v>0</v>
      </c>
      <c r="AN200" s="169">
        <f>(SUM(AD199:AG199)*W199+SUM(AD200:AG200)*W200)*12*VLOOKUP(C200,JNovergang,3,1)</f>
        <v>0</v>
      </c>
      <c r="AO200" s="169">
        <f>AM200-AN200</f>
        <v>0</v>
      </c>
      <c r="AP200" s="169">
        <f>M200*(100+X200)%</f>
        <v>0</v>
      </c>
      <c r="AQ200" s="274">
        <f>ROUND(M200*F200,2)</f>
        <v>0</v>
      </c>
      <c r="AS200" s="274">
        <f>ROUND((AP200+AQ200)+AM200*(N200/12),0)</f>
        <v>0</v>
      </c>
      <c r="AT200" s="274">
        <f>ROUND(AM200*(O200/12),0)</f>
        <v>0</v>
      </c>
      <c r="AU200" s="274">
        <f>ROUND(AM200*(P200/12)*U200,0)</f>
        <v>0</v>
      </c>
      <c r="AW200" s="144">
        <f t="shared" si="50"/>
        <v>0</v>
      </c>
    </row>
    <row r="201" spans="1:49">
      <c r="A201" s="173"/>
      <c r="B201" s="174"/>
      <c r="C201" s="174"/>
      <c r="D201" s="165" t="str">
        <f t="shared" si="53"/>
        <v xml:space="preserve"> </v>
      </c>
      <c r="E201" s="177"/>
      <c r="F201" s="287">
        <v>0</v>
      </c>
      <c r="G201" s="177">
        <v>37</v>
      </c>
      <c r="H201" s="177">
        <v>37</v>
      </c>
      <c r="I201" s="177"/>
      <c r="J201" s="179"/>
      <c r="K201" s="177"/>
      <c r="L201" s="179"/>
      <c r="M201" s="166"/>
      <c r="N201" s="166"/>
      <c r="O201" s="166"/>
      <c r="P201" s="166"/>
      <c r="Q201" s="167"/>
      <c r="R201" s="167"/>
      <c r="S201" s="168"/>
      <c r="V201" s="144">
        <f t="shared" si="42"/>
        <v>0</v>
      </c>
      <c r="W201" s="144">
        <f t="shared" si="43"/>
        <v>0</v>
      </c>
      <c r="X201" s="144">
        <f t="shared" si="52"/>
        <v>0</v>
      </c>
      <c r="Y201" s="144">
        <f t="shared" si="44"/>
        <v>31.779800000000002</v>
      </c>
      <c r="Z201" s="169">
        <f t="shared" si="36"/>
        <v>0</v>
      </c>
      <c r="AA201" s="274">
        <f t="shared" si="37"/>
        <v>0</v>
      </c>
      <c r="AB201" s="169">
        <f t="shared" si="45"/>
        <v>0</v>
      </c>
      <c r="AC201" s="274">
        <f t="shared" si="38"/>
        <v>0</v>
      </c>
      <c r="AD201" s="169">
        <f t="shared" si="39"/>
        <v>0</v>
      </c>
      <c r="AE201" s="274">
        <f t="shared" si="40"/>
        <v>0</v>
      </c>
      <c r="AF201" s="169">
        <f t="shared" si="46"/>
        <v>0</v>
      </c>
      <c r="AG201" s="274">
        <f t="shared" si="41"/>
        <v>0</v>
      </c>
      <c r="AH201" s="169">
        <f t="shared" si="47"/>
        <v>0</v>
      </c>
      <c r="AI201" s="169"/>
      <c r="AJ201" s="169">
        <f t="shared" si="48"/>
        <v>0</v>
      </c>
      <c r="AK201" s="169">
        <f t="shared" si="49"/>
        <v>0</v>
      </c>
      <c r="AL201" s="169"/>
      <c r="AM201" s="169"/>
      <c r="AN201" s="169"/>
      <c r="AQ201" s="169"/>
      <c r="AW201" s="144">
        <f t="shared" si="50"/>
        <v>0</v>
      </c>
    </row>
    <row r="202" spans="1:49" ht="9.75" thickBot="1">
      <c r="A202" s="175"/>
      <c r="B202" s="176"/>
      <c r="C202" s="176"/>
      <c r="D202" s="170" t="str">
        <f t="shared" si="53"/>
        <v xml:space="preserve"> </v>
      </c>
      <c r="E202" s="178"/>
      <c r="F202" s="288">
        <v>0</v>
      </c>
      <c r="G202" s="178">
        <v>37</v>
      </c>
      <c r="H202" s="178">
        <v>37</v>
      </c>
      <c r="I202" s="178"/>
      <c r="J202" s="180"/>
      <c r="K202" s="178"/>
      <c r="L202" s="180"/>
      <c r="M202" s="180"/>
      <c r="N202" s="178"/>
      <c r="O202" s="178"/>
      <c r="P202" s="178"/>
      <c r="Q202" s="171">
        <f>AS202</f>
        <v>0</v>
      </c>
      <c r="R202" s="171">
        <f>AT202</f>
        <v>0</v>
      </c>
      <c r="S202" s="172">
        <f>AU202</f>
        <v>0</v>
      </c>
      <c r="U202" s="144">
        <f>IF(OR(C201=5,C202=5),0,1)</f>
        <v>1</v>
      </c>
      <c r="V202" s="144">
        <f t="shared" si="42"/>
        <v>0</v>
      </c>
      <c r="W202" s="144">
        <f t="shared" si="43"/>
        <v>0</v>
      </c>
      <c r="X202" s="144">
        <f t="shared" si="52"/>
        <v>0</v>
      </c>
      <c r="Y202" s="144">
        <f t="shared" si="44"/>
        <v>31.779800000000002</v>
      </c>
      <c r="Z202" s="169">
        <f t="shared" si="36"/>
        <v>0</v>
      </c>
      <c r="AA202" s="274">
        <f t="shared" si="37"/>
        <v>0</v>
      </c>
      <c r="AB202" s="169">
        <f t="shared" si="45"/>
        <v>0</v>
      </c>
      <c r="AC202" s="274">
        <f t="shared" si="38"/>
        <v>0</v>
      </c>
      <c r="AD202" s="169">
        <f t="shared" si="39"/>
        <v>0</v>
      </c>
      <c r="AE202" s="274">
        <f t="shared" si="40"/>
        <v>0</v>
      </c>
      <c r="AF202" s="169">
        <f t="shared" si="46"/>
        <v>0</v>
      </c>
      <c r="AG202" s="274">
        <f t="shared" si="41"/>
        <v>0</v>
      </c>
      <c r="AH202" s="169">
        <f t="shared" si="47"/>
        <v>0</v>
      </c>
      <c r="AI202" s="169"/>
      <c r="AJ202" s="169">
        <f t="shared" si="48"/>
        <v>0</v>
      </c>
      <c r="AK202" s="169">
        <f t="shared" si="49"/>
        <v>0</v>
      </c>
      <c r="AL202" s="169"/>
      <c r="AM202" s="169">
        <f>AK201*W201+AK202*W202</f>
        <v>0</v>
      </c>
      <c r="AN202" s="169">
        <f>(SUM(AD201:AG201)*W201+SUM(AD202:AG202)*W202)*12*VLOOKUP(C202,JNovergang,3,1)</f>
        <v>0</v>
      </c>
      <c r="AO202" s="169">
        <f>AM202-AN202</f>
        <v>0</v>
      </c>
      <c r="AP202" s="169">
        <f>M202*(100+X202)%</f>
        <v>0</v>
      </c>
      <c r="AQ202" s="274">
        <f>ROUND(M202*F202,2)</f>
        <v>0</v>
      </c>
      <c r="AS202" s="274">
        <f>ROUND((AP202+AQ202)+AM202*(N202/12),0)</f>
        <v>0</v>
      </c>
      <c r="AT202" s="274">
        <f>ROUND(AM202*(O202/12),0)</f>
        <v>0</v>
      </c>
      <c r="AU202" s="274">
        <f>ROUND(AM202*(P202/12)*U202,0)</f>
        <v>0</v>
      </c>
      <c r="AW202" s="144">
        <f t="shared" si="50"/>
        <v>0</v>
      </c>
    </row>
    <row r="203" spans="1:49">
      <c r="A203" s="173"/>
      <c r="B203" s="174"/>
      <c r="C203" s="174"/>
      <c r="D203" s="165" t="str">
        <f t="shared" si="53"/>
        <v xml:space="preserve"> </v>
      </c>
      <c r="E203" s="177"/>
      <c r="F203" s="287">
        <v>0</v>
      </c>
      <c r="G203" s="177">
        <v>37</v>
      </c>
      <c r="H203" s="177">
        <v>37</v>
      </c>
      <c r="I203" s="177"/>
      <c r="J203" s="179"/>
      <c r="K203" s="177"/>
      <c r="L203" s="179"/>
      <c r="M203" s="166"/>
      <c r="N203" s="166"/>
      <c r="O203" s="166"/>
      <c r="P203" s="166"/>
      <c r="Q203" s="167"/>
      <c r="R203" s="167"/>
      <c r="S203" s="168"/>
      <c r="V203" s="144">
        <f t="shared" si="42"/>
        <v>0</v>
      </c>
      <c r="W203" s="144">
        <f t="shared" si="43"/>
        <v>0</v>
      </c>
      <c r="X203" s="144">
        <f t="shared" si="52"/>
        <v>0</v>
      </c>
      <c r="Y203" s="144">
        <f t="shared" si="44"/>
        <v>31.779800000000002</v>
      </c>
      <c r="Z203" s="169">
        <f t="shared" si="36"/>
        <v>0</v>
      </c>
      <c r="AA203" s="274">
        <f t="shared" si="37"/>
        <v>0</v>
      </c>
      <c r="AB203" s="169">
        <f t="shared" si="45"/>
        <v>0</v>
      </c>
      <c r="AC203" s="274">
        <f t="shared" si="38"/>
        <v>0</v>
      </c>
      <c r="AD203" s="169">
        <f t="shared" si="39"/>
        <v>0</v>
      </c>
      <c r="AE203" s="274">
        <f t="shared" si="40"/>
        <v>0</v>
      </c>
      <c r="AF203" s="169">
        <f t="shared" si="46"/>
        <v>0</v>
      </c>
      <c r="AG203" s="274">
        <f t="shared" si="41"/>
        <v>0</v>
      </c>
      <c r="AH203" s="169">
        <f t="shared" si="47"/>
        <v>0</v>
      </c>
      <c r="AI203" s="169"/>
      <c r="AJ203" s="169">
        <f t="shared" si="48"/>
        <v>0</v>
      </c>
      <c r="AK203" s="169">
        <f t="shared" si="49"/>
        <v>0</v>
      </c>
      <c r="AL203" s="169"/>
      <c r="AM203" s="169"/>
      <c r="AN203" s="169"/>
      <c r="AQ203" s="169"/>
      <c r="AW203" s="144">
        <f t="shared" si="50"/>
        <v>0</v>
      </c>
    </row>
    <row r="204" spans="1:49" ht="9.75" thickBot="1">
      <c r="A204" s="175"/>
      <c r="B204" s="176"/>
      <c r="C204" s="176"/>
      <c r="D204" s="170" t="str">
        <f t="shared" si="53"/>
        <v xml:space="preserve"> </v>
      </c>
      <c r="E204" s="178"/>
      <c r="F204" s="288">
        <v>0</v>
      </c>
      <c r="G204" s="178">
        <v>37</v>
      </c>
      <c r="H204" s="178">
        <v>37</v>
      </c>
      <c r="I204" s="178"/>
      <c r="J204" s="180"/>
      <c r="K204" s="178"/>
      <c r="L204" s="180"/>
      <c r="M204" s="180"/>
      <c r="N204" s="178"/>
      <c r="O204" s="178"/>
      <c r="P204" s="178"/>
      <c r="Q204" s="171">
        <f>AS204</f>
        <v>0</v>
      </c>
      <c r="R204" s="171">
        <f>AT204</f>
        <v>0</v>
      </c>
      <c r="S204" s="172">
        <f>AU204</f>
        <v>0</v>
      </c>
      <c r="U204" s="144">
        <f>IF(OR(C203=5,C204=5),0,1)</f>
        <v>1</v>
      </c>
      <c r="V204" s="144">
        <f t="shared" si="42"/>
        <v>0</v>
      </c>
      <c r="W204" s="144">
        <f t="shared" si="43"/>
        <v>0</v>
      </c>
      <c r="X204" s="144">
        <f t="shared" si="52"/>
        <v>0</v>
      </c>
      <c r="Y204" s="144">
        <f t="shared" si="44"/>
        <v>31.779800000000002</v>
      </c>
      <c r="Z204" s="169">
        <f t="shared" si="36"/>
        <v>0</v>
      </c>
      <c r="AA204" s="274">
        <f t="shared" si="37"/>
        <v>0</v>
      </c>
      <c r="AB204" s="169">
        <f t="shared" si="45"/>
        <v>0</v>
      </c>
      <c r="AC204" s="274">
        <f t="shared" si="38"/>
        <v>0</v>
      </c>
      <c r="AD204" s="169">
        <f t="shared" si="39"/>
        <v>0</v>
      </c>
      <c r="AE204" s="274">
        <f t="shared" si="40"/>
        <v>0</v>
      </c>
      <c r="AF204" s="169">
        <f t="shared" si="46"/>
        <v>0</v>
      </c>
      <c r="AG204" s="274">
        <f t="shared" si="41"/>
        <v>0</v>
      </c>
      <c r="AH204" s="169">
        <f t="shared" si="47"/>
        <v>0</v>
      </c>
      <c r="AI204" s="169"/>
      <c r="AJ204" s="169">
        <f t="shared" si="48"/>
        <v>0</v>
      </c>
      <c r="AK204" s="169">
        <f t="shared" si="49"/>
        <v>0</v>
      </c>
      <c r="AL204" s="169"/>
      <c r="AM204" s="169">
        <f>AK203*W203+AK204*W204</f>
        <v>0</v>
      </c>
      <c r="AN204" s="169">
        <f>(SUM(AD203:AG203)*W203+SUM(AD204:AG204)*W204)*12*VLOOKUP(C204,JNovergang,3,1)</f>
        <v>0</v>
      </c>
      <c r="AO204" s="169">
        <f>AM204-AN204</f>
        <v>0</v>
      </c>
      <c r="AP204" s="169">
        <f>M204*(100+X204)%</f>
        <v>0</v>
      </c>
      <c r="AQ204" s="274">
        <f>ROUND(M204*F204,2)</f>
        <v>0</v>
      </c>
      <c r="AS204" s="274">
        <f>ROUND((AP204+AQ204)+AM204*(N204/12),0)</f>
        <v>0</v>
      </c>
      <c r="AT204" s="274">
        <f>ROUND(AM204*(O204/12),0)</f>
        <v>0</v>
      </c>
      <c r="AU204" s="274">
        <f>ROUND(AM204*(P204/12)*U204,0)</f>
        <v>0</v>
      </c>
      <c r="AW204" s="144">
        <f t="shared" si="50"/>
        <v>0</v>
      </c>
    </row>
    <row r="205" spans="1:49">
      <c r="A205" s="173"/>
      <c r="B205" s="174"/>
      <c r="C205" s="174"/>
      <c r="D205" s="165" t="str">
        <f t="shared" si="53"/>
        <v xml:space="preserve"> </v>
      </c>
      <c r="E205" s="177"/>
      <c r="F205" s="287">
        <v>0</v>
      </c>
      <c r="G205" s="177">
        <v>37</v>
      </c>
      <c r="H205" s="177">
        <v>37</v>
      </c>
      <c r="I205" s="177"/>
      <c r="J205" s="179"/>
      <c r="K205" s="177"/>
      <c r="L205" s="179"/>
      <c r="M205" s="166"/>
      <c r="N205" s="166"/>
      <c r="O205" s="166"/>
      <c r="P205" s="166"/>
      <c r="Q205" s="167"/>
      <c r="R205" s="167"/>
      <c r="S205" s="168"/>
      <c r="V205" s="144">
        <f t="shared" si="42"/>
        <v>0</v>
      </c>
      <c r="W205" s="144">
        <f t="shared" si="43"/>
        <v>0</v>
      </c>
      <c r="X205" s="144">
        <f t="shared" si="52"/>
        <v>0</v>
      </c>
      <c r="Y205" s="144">
        <f t="shared" si="44"/>
        <v>31.779800000000002</v>
      </c>
      <c r="Z205" s="169">
        <f t="shared" si="36"/>
        <v>0</v>
      </c>
      <c r="AA205" s="274">
        <f t="shared" si="37"/>
        <v>0</v>
      </c>
      <c r="AB205" s="169">
        <f t="shared" si="45"/>
        <v>0</v>
      </c>
      <c r="AC205" s="274">
        <f t="shared" si="38"/>
        <v>0</v>
      </c>
      <c r="AD205" s="169">
        <f t="shared" si="39"/>
        <v>0</v>
      </c>
      <c r="AE205" s="274">
        <f t="shared" si="40"/>
        <v>0</v>
      </c>
      <c r="AF205" s="169">
        <f t="shared" si="46"/>
        <v>0</v>
      </c>
      <c r="AG205" s="274">
        <f t="shared" si="41"/>
        <v>0</v>
      </c>
      <c r="AH205" s="169">
        <f t="shared" si="47"/>
        <v>0</v>
      </c>
      <c r="AI205" s="169"/>
      <c r="AJ205" s="169">
        <f t="shared" si="48"/>
        <v>0</v>
      </c>
      <c r="AK205" s="169">
        <f t="shared" si="49"/>
        <v>0</v>
      </c>
      <c r="AL205" s="169"/>
      <c r="AM205" s="169"/>
      <c r="AN205" s="169"/>
      <c r="AQ205" s="169"/>
      <c r="AW205" s="144">
        <f t="shared" si="50"/>
        <v>0</v>
      </c>
    </row>
    <row r="206" spans="1:49" ht="9.75" thickBot="1">
      <c r="A206" s="175"/>
      <c r="B206" s="176"/>
      <c r="C206" s="176"/>
      <c r="D206" s="170" t="str">
        <f t="shared" si="53"/>
        <v xml:space="preserve"> </v>
      </c>
      <c r="E206" s="178"/>
      <c r="F206" s="288">
        <v>0</v>
      </c>
      <c r="G206" s="178">
        <v>37</v>
      </c>
      <c r="H206" s="178">
        <v>37</v>
      </c>
      <c r="I206" s="178"/>
      <c r="J206" s="180"/>
      <c r="K206" s="178"/>
      <c r="L206" s="180"/>
      <c r="M206" s="180"/>
      <c r="N206" s="178"/>
      <c r="O206" s="178"/>
      <c r="P206" s="178"/>
      <c r="Q206" s="171">
        <f>AS206</f>
        <v>0</v>
      </c>
      <c r="R206" s="171">
        <f>AT206</f>
        <v>0</v>
      </c>
      <c r="S206" s="172">
        <f>AU206</f>
        <v>0</v>
      </c>
      <c r="U206" s="144">
        <f>IF(OR(C205=5,C206=5),0,1)</f>
        <v>1</v>
      </c>
      <c r="V206" s="144">
        <f t="shared" si="42"/>
        <v>0</v>
      </c>
      <c r="W206" s="144">
        <f t="shared" si="43"/>
        <v>0</v>
      </c>
      <c r="X206" s="144">
        <f t="shared" si="52"/>
        <v>0</v>
      </c>
      <c r="Y206" s="144">
        <f t="shared" si="44"/>
        <v>31.779800000000002</v>
      </c>
      <c r="Z206" s="169">
        <f t="shared" si="36"/>
        <v>0</v>
      </c>
      <c r="AA206" s="274">
        <f t="shared" si="37"/>
        <v>0</v>
      </c>
      <c r="AB206" s="169">
        <f t="shared" si="45"/>
        <v>0</v>
      </c>
      <c r="AC206" s="274">
        <f t="shared" si="38"/>
        <v>0</v>
      </c>
      <c r="AD206" s="169">
        <f t="shared" si="39"/>
        <v>0</v>
      </c>
      <c r="AE206" s="274">
        <f t="shared" si="40"/>
        <v>0</v>
      </c>
      <c r="AF206" s="169">
        <f t="shared" si="46"/>
        <v>0</v>
      </c>
      <c r="AG206" s="274">
        <f t="shared" si="41"/>
        <v>0</v>
      </c>
      <c r="AH206" s="169">
        <f t="shared" si="47"/>
        <v>0</v>
      </c>
      <c r="AI206" s="169"/>
      <c r="AJ206" s="169">
        <f t="shared" si="48"/>
        <v>0</v>
      </c>
      <c r="AK206" s="169">
        <f t="shared" si="49"/>
        <v>0</v>
      </c>
      <c r="AL206" s="169"/>
      <c r="AM206" s="169">
        <f>AK205*W205+AK206*W206</f>
        <v>0</v>
      </c>
      <c r="AN206" s="169">
        <f>(SUM(AD205:AG205)*W205+SUM(AD206:AG206)*W206)*12*VLOOKUP(C206,JNovergang,3,1)</f>
        <v>0</v>
      </c>
      <c r="AO206" s="169">
        <f>AM206-AN206</f>
        <v>0</v>
      </c>
      <c r="AP206" s="169">
        <f>M206*(100+X206)%</f>
        <v>0</v>
      </c>
      <c r="AQ206" s="274">
        <f>ROUND(M206*F206,2)</f>
        <v>0</v>
      </c>
      <c r="AS206" s="274">
        <f>ROUND((AP206+AQ206)+AM206*(N206/12),0)</f>
        <v>0</v>
      </c>
      <c r="AT206" s="274">
        <f>ROUND(AM206*(O206/12),0)</f>
        <v>0</v>
      </c>
      <c r="AU206" s="274">
        <f>ROUND(AM206*(P206/12)*U206,0)</f>
        <v>0</v>
      </c>
      <c r="AW206" s="144">
        <f t="shared" si="50"/>
        <v>0</v>
      </c>
    </row>
    <row r="207" spans="1:49">
      <c r="A207" s="173"/>
      <c r="B207" s="174"/>
      <c r="C207" s="174"/>
      <c r="D207" s="165" t="str">
        <f t="shared" si="53"/>
        <v xml:space="preserve"> </v>
      </c>
      <c r="E207" s="177"/>
      <c r="F207" s="287">
        <v>0</v>
      </c>
      <c r="G207" s="177">
        <v>37</v>
      </c>
      <c r="H207" s="177">
        <v>37</v>
      </c>
      <c r="I207" s="177"/>
      <c r="J207" s="179"/>
      <c r="K207" s="177"/>
      <c r="L207" s="179"/>
      <c r="M207" s="166"/>
      <c r="N207" s="166"/>
      <c r="O207" s="166"/>
      <c r="P207" s="166"/>
      <c r="Q207" s="167"/>
      <c r="R207" s="167"/>
      <c r="S207" s="168"/>
      <c r="V207" s="144">
        <f t="shared" si="42"/>
        <v>0</v>
      </c>
      <c r="W207" s="144">
        <f t="shared" si="43"/>
        <v>0</v>
      </c>
      <c r="X207" s="144">
        <f t="shared" si="52"/>
        <v>0</v>
      </c>
      <c r="Y207" s="144">
        <f t="shared" si="44"/>
        <v>31.779800000000002</v>
      </c>
      <c r="Z207" s="169">
        <f t="shared" si="36"/>
        <v>0</v>
      </c>
      <c r="AA207" s="274">
        <f t="shared" si="37"/>
        <v>0</v>
      </c>
      <c r="AB207" s="169">
        <f t="shared" si="45"/>
        <v>0</v>
      </c>
      <c r="AC207" s="274">
        <f t="shared" si="38"/>
        <v>0</v>
      </c>
      <c r="AD207" s="169">
        <f t="shared" si="39"/>
        <v>0</v>
      </c>
      <c r="AE207" s="274">
        <f t="shared" si="40"/>
        <v>0</v>
      </c>
      <c r="AF207" s="169">
        <f t="shared" si="46"/>
        <v>0</v>
      </c>
      <c r="AG207" s="274">
        <f t="shared" si="41"/>
        <v>0</v>
      </c>
      <c r="AH207" s="169">
        <f t="shared" si="47"/>
        <v>0</v>
      </c>
      <c r="AI207" s="169"/>
      <c r="AJ207" s="169">
        <f t="shared" si="48"/>
        <v>0</v>
      </c>
      <c r="AK207" s="169">
        <f t="shared" si="49"/>
        <v>0</v>
      </c>
      <c r="AL207" s="169"/>
      <c r="AM207" s="169"/>
      <c r="AN207" s="169"/>
      <c r="AQ207" s="169"/>
      <c r="AW207" s="144">
        <f t="shared" si="50"/>
        <v>0</v>
      </c>
    </row>
    <row r="208" spans="1:49" ht="9.75" thickBot="1">
      <c r="A208" s="175"/>
      <c r="B208" s="176"/>
      <c r="C208" s="176"/>
      <c r="D208" s="170" t="str">
        <f t="shared" si="53"/>
        <v xml:space="preserve"> </v>
      </c>
      <c r="E208" s="178"/>
      <c r="F208" s="288">
        <v>0</v>
      </c>
      <c r="G208" s="178">
        <v>37</v>
      </c>
      <c r="H208" s="178">
        <v>37</v>
      </c>
      <c r="I208" s="178"/>
      <c r="J208" s="180"/>
      <c r="K208" s="178"/>
      <c r="L208" s="180"/>
      <c r="M208" s="180"/>
      <c r="N208" s="178"/>
      <c r="O208" s="178"/>
      <c r="P208" s="178"/>
      <c r="Q208" s="171">
        <f>AS208</f>
        <v>0</v>
      </c>
      <c r="R208" s="171">
        <f>AT208</f>
        <v>0</v>
      </c>
      <c r="S208" s="172">
        <f>AU208</f>
        <v>0</v>
      </c>
      <c r="U208" s="144">
        <f>IF(OR(C207=5,C208=5),0,1)</f>
        <v>1</v>
      </c>
      <c r="V208" s="144">
        <f t="shared" si="42"/>
        <v>0</v>
      </c>
      <c r="W208" s="144">
        <f t="shared" si="43"/>
        <v>0</v>
      </c>
      <c r="X208" s="144">
        <f t="shared" si="52"/>
        <v>0</v>
      </c>
      <c r="Y208" s="144">
        <f t="shared" si="44"/>
        <v>31.779800000000002</v>
      </c>
      <c r="Z208" s="169">
        <f t="shared" si="36"/>
        <v>0</v>
      </c>
      <c r="AA208" s="274">
        <f t="shared" si="37"/>
        <v>0</v>
      </c>
      <c r="AB208" s="169">
        <f t="shared" si="45"/>
        <v>0</v>
      </c>
      <c r="AC208" s="274">
        <f t="shared" si="38"/>
        <v>0</v>
      </c>
      <c r="AD208" s="169">
        <f t="shared" si="39"/>
        <v>0</v>
      </c>
      <c r="AE208" s="274">
        <f t="shared" si="40"/>
        <v>0</v>
      </c>
      <c r="AF208" s="169">
        <f t="shared" si="46"/>
        <v>0</v>
      </c>
      <c r="AG208" s="274">
        <f t="shared" si="41"/>
        <v>0</v>
      </c>
      <c r="AH208" s="169">
        <f t="shared" si="47"/>
        <v>0</v>
      </c>
      <c r="AI208" s="169"/>
      <c r="AJ208" s="169">
        <f t="shared" si="48"/>
        <v>0</v>
      </c>
      <c r="AK208" s="169">
        <f t="shared" si="49"/>
        <v>0</v>
      </c>
      <c r="AL208" s="169"/>
      <c r="AM208" s="169">
        <f>AK207*W207+AK208*W208</f>
        <v>0</v>
      </c>
      <c r="AN208" s="169">
        <f>(SUM(AD207:AG207)*W207+SUM(AD208:AG208)*W208)*12*VLOOKUP(C208,JNovergang,3,1)</f>
        <v>0</v>
      </c>
      <c r="AO208" s="169">
        <f>AM208-AN208</f>
        <v>0</v>
      </c>
      <c r="AP208" s="169">
        <f>M208*(100+X208)%</f>
        <v>0</v>
      </c>
      <c r="AQ208" s="274">
        <f>ROUND(M208*F208,2)</f>
        <v>0</v>
      </c>
      <c r="AS208" s="274">
        <f>ROUND((AP208+AQ208)+AM208*(N208/12),0)</f>
        <v>0</v>
      </c>
      <c r="AT208" s="274">
        <f>ROUND(AM208*(O208/12),0)</f>
        <v>0</v>
      </c>
      <c r="AU208" s="274">
        <f>ROUND(AM208*(P208/12)*U208,0)</f>
        <v>0</v>
      </c>
      <c r="AW208" s="144">
        <f t="shared" si="50"/>
        <v>0</v>
      </c>
    </row>
    <row r="209" spans="1:49">
      <c r="A209" s="173"/>
      <c r="B209" s="174"/>
      <c r="C209" s="174"/>
      <c r="D209" s="165" t="str">
        <f t="shared" si="53"/>
        <v xml:space="preserve"> </v>
      </c>
      <c r="E209" s="177"/>
      <c r="F209" s="287">
        <v>0</v>
      </c>
      <c r="G209" s="177">
        <v>37</v>
      </c>
      <c r="H209" s="177">
        <v>37</v>
      </c>
      <c r="I209" s="177"/>
      <c r="J209" s="179"/>
      <c r="K209" s="177"/>
      <c r="L209" s="179"/>
      <c r="M209" s="166"/>
      <c r="N209" s="166"/>
      <c r="O209" s="166"/>
      <c r="P209" s="166"/>
      <c r="Q209" s="167"/>
      <c r="R209" s="167"/>
      <c r="S209" s="168"/>
      <c r="V209" s="144">
        <f t="shared" si="42"/>
        <v>0</v>
      </c>
      <c r="W209" s="144">
        <f t="shared" si="43"/>
        <v>0</v>
      </c>
      <c r="X209" s="144">
        <f t="shared" si="52"/>
        <v>0</v>
      </c>
      <c r="Y209" s="144">
        <f t="shared" si="44"/>
        <v>31.779800000000002</v>
      </c>
      <c r="Z209" s="169">
        <f t="shared" si="36"/>
        <v>0</v>
      </c>
      <c r="AA209" s="274">
        <f t="shared" si="37"/>
        <v>0</v>
      </c>
      <c r="AB209" s="169">
        <f t="shared" si="45"/>
        <v>0</v>
      </c>
      <c r="AC209" s="274">
        <f t="shared" si="38"/>
        <v>0</v>
      </c>
      <c r="AD209" s="169">
        <f t="shared" si="39"/>
        <v>0</v>
      </c>
      <c r="AE209" s="274">
        <f t="shared" si="40"/>
        <v>0</v>
      </c>
      <c r="AF209" s="169">
        <f t="shared" si="46"/>
        <v>0</v>
      </c>
      <c r="AG209" s="274">
        <f t="shared" si="41"/>
        <v>0</v>
      </c>
      <c r="AH209" s="169">
        <f t="shared" si="47"/>
        <v>0</v>
      </c>
      <c r="AI209" s="169"/>
      <c r="AJ209" s="169">
        <f t="shared" si="48"/>
        <v>0</v>
      </c>
      <c r="AK209" s="169">
        <f t="shared" si="49"/>
        <v>0</v>
      </c>
      <c r="AL209" s="169"/>
      <c r="AM209" s="169"/>
      <c r="AN209" s="169"/>
      <c r="AQ209" s="169"/>
      <c r="AW209" s="144">
        <f t="shared" si="50"/>
        <v>0</v>
      </c>
    </row>
    <row r="210" spans="1:49" ht="9.75" thickBot="1">
      <c r="A210" s="175"/>
      <c r="B210" s="176"/>
      <c r="C210" s="176"/>
      <c r="D210" s="170" t="str">
        <f t="shared" si="53"/>
        <v xml:space="preserve"> </v>
      </c>
      <c r="E210" s="178"/>
      <c r="F210" s="288">
        <v>0</v>
      </c>
      <c r="G210" s="178">
        <v>37</v>
      </c>
      <c r="H210" s="178">
        <v>37</v>
      </c>
      <c r="I210" s="178"/>
      <c r="J210" s="180"/>
      <c r="K210" s="178"/>
      <c r="L210" s="180"/>
      <c r="M210" s="180"/>
      <c r="N210" s="178"/>
      <c r="O210" s="178"/>
      <c r="P210" s="178"/>
      <c r="Q210" s="171">
        <f>AS210</f>
        <v>0</v>
      </c>
      <c r="R210" s="171">
        <f>AT210</f>
        <v>0</v>
      </c>
      <c r="S210" s="172">
        <f>AU210</f>
        <v>0</v>
      </c>
      <c r="U210" s="144">
        <f>IF(OR(C209=5,C210=5),0,1)</f>
        <v>1</v>
      </c>
      <c r="V210" s="144">
        <f t="shared" si="42"/>
        <v>0</v>
      </c>
      <c r="W210" s="144">
        <f t="shared" si="43"/>
        <v>0</v>
      </c>
      <c r="X210" s="144">
        <f t="shared" si="52"/>
        <v>0</v>
      </c>
      <c r="Y210" s="144">
        <f t="shared" si="44"/>
        <v>31.779800000000002</v>
      </c>
      <c r="Z210" s="169">
        <f t="shared" si="36"/>
        <v>0</v>
      </c>
      <c r="AA210" s="274">
        <f t="shared" si="37"/>
        <v>0</v>
      </c>
      <c r="AB210" s="169">
        <f t="shared" si="45"/>
        <v>0</v>
      </c>
      <c r="AC210" s="274">
        <f t="shared" si="38"/>
        <v>0</v>
      </c>
      <c r="AD210" s="169">
        <f t="shared" si="39"/>
        <v>0</v>
      </c>
      <c r="AE210" s="274">
        <f t="shared" si="40"/>
        <v>0</v>
      </c>
      <c r="AF210" s="169">
        <f t="shared" si="46"/>
        <v>0</v>
      </c>
      <c r="AG210" s="274">
        <f t="shared" si="41"/>
        <v>0</v>
      </c>
      <c r="AH210" s="169">
        <f t="shared" si="47"/>
        <v>0</v>
      </c>
      <c r="AI210" s="169"/>
      <c r="AJ210" s="169">
        <f t="shared" si="48"/>
        <v>0</v>
      </c>
      <c r="AK210" s="169">
        <f t="shared" si="49"/>
        <v>0</v>
      </c>
      <c r="AL210" s="169"/>
      <c r="AM210" s="169">
        <f>AK209*W209+AK210*W210</f>
        <v>0</v>
      </c>
      <c r="AN210" s="169">
        <f>(SUM(AD209:AG209)*W209+SUM(AD210:AG210)*W210)*12*VLOOKUP(C210,JNovergang,3,1)</f>
        <v>0</v>
      </c>
      <c r="AO210" s="169">
        <f>AM210-AN210</f>
        <v>0</v>
      </c>
      <c r="AP210" s="169">
        <f>M210*(100+X210)%</f>
        <v>0</v>
      </c>
      <c r="AQ210" s="274">
        <f>ROUND(M210*F210,2)</f>
        <v>0</v>
      </c>
      <c r="AS210" s="274">
        <f>ROUND((AP210+AQ210)+AM210*(N210/12),0)</f>
        <v>0</v>
      </c>
      <c r="AT210" s="274">
        <f>ROUND(AM210*(O210/12),0)</f>
        <v>0</v>
      </c>
      <c r="AU210" s="274">
        <f>ROUND(AM210*(P210/12)*U210,0)</f>
        <v>0</v>
      </c>
      <c r="AW210" s="144">
        <f t="shared" si="50"/>
        <v>0</v>
      </c>
    </row>
    <row r="211" spans="1:49">
      <c r="A211" s="173"/>
      <c r="B211" s="174"/>
      <c r="C211" s="174"/>
      <c r="D211" s="165" t="str">
        <f t="shared" si="53"/>
        <v xml:space="preserve"> </v>
      </c>
      <c r="E211" s="177"/>
      <c r="F211" s="287">
        <v>0</v>
      </c>
      <c r="G211" s="177">
        <v>37</v>
      </c>
      <c r="H211" s="177">
        <v>37</v>
      </c>
      <c r="I211" s="177"/>
      <c r="J211" s="179"/>
      <c r="K211" s="177"/>
      <c r="L211" s="179"/>
      <c r="M211" s="166"/>
      <c r="N211" s="166"/>
      <c r="O211" s="166"/>
      <c r="P211" s="166"/>
      <c r="Q211" s="167"/>
      <c r="R211" s="167"/>
      <c r="S211" s="168"/>
      <c r="V211" s="144">
        <f t="shared" si="42"/>
        <v>0</v>
      </c>
      <c r="W211" s="144">
        <f t="shared" si="43"/>
        <v>0</v>
      </c>
      <c r="X211" s="144">
        <f t="shared" si="52"/>
        <v>0</v>
      </c>
      <c r="Y211" s="144">
        <f t="shared" si="44"/>
        <v>31.779800000000002</v>
      </c>
      <c r="Z211" s="169">
        <f t="shared" si="36"/>
        <v>0</v>
      </c>
      <c r="AA211" s="274">
        <f t="shared" si="37"/>
        <v>0</v>
      </c>
      <c r="AB211" s="169">
        <f t="shared" si="45"/>
        <v>0</v>
      </c>
      <c r="AC211" s="274">
        <f t="shared" si="38"/>
        <v>0</v>
      </c>
      <c r="AD211" s="169">
        <f t="shared" si="39"/>
        <v>0</v>
      </c>
      <c r="AE211" s="274">
        <f t="shared" si="40"/>
        <v>0</v>
      </c>
      <c r="AF211" s="169">
        <f t="shared" si="46"/>
        <v>0</v>
      </c>
      <c r="AG211" s="274">
        <f t="shared" si="41"/>
        <v>0</v>
      </c>
      <c r="AH211" s="169">
        <f t="shared" si="47"/>
        <v>0</v>
      </c>
      <c r="AI211" s="169"/>
      <c r="AJ211" s="169">
        <f t="shared" si="48"/>
        <v>0</v>
      </c>
      <c r="AK211" s="169">
        <f t="shared" si="49"/>
        <v>0</v>
      </c>
      <c r="AL211" s="169"/>
      <c r="AM211" s="169"/>
      <c r="AN211" s="169"/>
      <c r="AQ211" s="169"/>
      <c r="AW211" s="144">
        <f t="shared" si="50"/>
        <v>0</v>
      </c>
    </row>
    <row r="212" spans="1:49" ht="9.75" thickBot="1">
      <c r="A212" s="175"/>
      <c r="B212" s="176"/>
      <c r="C212" s="176"/>
      <c r="D212" s="170" t="str">
        <f t="shared" si="53"/>
        <v xml:space="preserve"> </v>
      </c>
      <c r="E212" s="178"/>
      <c r="F212" s="288">
        <v>0</v>
      </c>
      <c r="G212" s="178">
        <v>37</v>
      </c>
      <c r="H212" s="178">
        <v>37</v>
      </c>
      <c r="I212" s="178"/>
      <c r="J212" s="180"/>
      <c r="K212" s="178"/>
      <c r="L212" s="180"/>
      <c r="M212" s="180"/>
      <c r="N212" s="178"/>
      <c r="O212" s="178"/>
      <c r="P212" s="178"/>
      <c r="Q212" s="171">
        <f>AS212</f>
        <v>0</v>
      </c>
      <c r="R212" s="171">
        <f>AT212</f>
        <v>0</v>
      </c>
      <c r="S212" s="172">
        <f>AU212</f>
        <v>0</v>
      </c>
      <c r="U212" s="144">
        <f>IF(OR(C211=5,C212=5),0,1)</f>
        <v>1</v>
      </c>
      <c r="V212" s="144">
        <f t="shared" si="42"/>
        <v>0</v>
      </c>
      <c r="W212" s="144">
        <f t="shared" si="43"/>
        <v>0</v>
      </c>
      <c r="X212" s="144">
        <f t="shared" si="52"/>
        <v>0</v>
      </c>
      <c r="Y212" s="144">
        <f t="shared" si="44"/>
        <v>31.779800000000002</v>
      </c>
      <c r="Z212" s="169">
        <f t="shared" si="36"/>
        <v>0</v>
      </c>
      <c r="AA212" s="274">
        <f t="shared" si="37"/>
        <v>0</v>
      </c>
      <c r="AB212" s="169">
        <f t="shared" si="45"/>
        <v>0</v>
      </c>
      <c r="AC212" s="274">
        <f t="shared" si="38"/>
        <v>0</v>
      </c>
      <c r="AD212" s="169">
        <f t="shared" si="39"/>
        <v>0</v>
      </c>
      <c r="AE212" s="274">
        <f t="shared" si="40"/>
        <v>0</v>
      </c>
      <c r="AF212" s="169">
        <f t="shared" si="46"/>
        <v>0</v>
      </c>
      <c r="AG212" s="274">
        <f t="shared" si="41"/>
        <v>0</v>
      </c>
      <c r="AH212" s="169">
        <f t="shared" si="47"/>
        <v>0</v>
      </c>
      <c r="AI212" s="169"/>
      <c r="AJ212" s="169">
        <f t="shared" si="48"/>
        <v>0</v>
      </c>
      <c r="AK212" s="169">
        <f t="shared" si="49"/>
        <v>0</v>
      </c>
      <c r="AL212" s="169"/>
      <c r="AM212" s="169">
        <f>AK211*W211+AK212*W212</f>
        <v>0</v>
      </c>
      <c r="AN212" s="169">
        <f>(SUM(AD211:AG211)*W211+SUM(AD212:AG212)*W212)*12*VLOOKUP(C212,JNovergang,3,1)</f>
        <v>0</v>
      </c>
      <c r="AO212" s="169">
        <f>AM212-AN212</f>
        <v>0</v>
      </c>
      <c r="AP212" s="169">
        <f>M212*(100+X212)%</f>
        <v>0</v>
      </c>
      <c r="AQ212" s="274">
        <f>ROUND(M212*F212,2)</f>
        <v>0</v>
      </c>
      <c r="AS212" s="274">
        <f>ROUND((AP212+AQ212)+AM212*(N212/12),0)</f>
        <v>0</v>
      </c>
      <c r="AT212" s="274">
        <f>ROUND(AM212*(O212/12),0)</f>
        <v>0</v>
      </c>
      <c r="AU212" s="274">
        <f>ROUND(AM212*(P212/12)*U212,0)</f>
        <v>0</v>
      </c>
      <c r="AW212" s="144">
        <f t="shared" si="50"/>
        <v>0</v>
      </c>
    </row>
    <row r="213" spans="1:49">
      <c r="A213" s="173"/>
      <c r="B213" s="174"/>
      <c r="C213" s="174"/>
      <c r="D213" s="165" t="str">
        <f t="shared" si="53"/>
        <v xml:space="preserve"> </v>
      </c>
      <c r="E213" s="177"/>
      <c r="F213" s="287">
        <v>0</v>
      </c>
      <c r="G213" s="177">
        <v>37</v>
      </c>
      <c r="H213" s="177">
        <v>37</v>
      </c>
      <c r="I213" s="177"/>
      <c r="J213" s="179"/>
      <c r="K213" s="177"/>
      <c r="L213" s="179"/>
      <c r="M213" s="166"/>
      <c r="N213" s="166"/>
      <c r="O213" s="166"/>
      <c r="P213" s="166"/>
      <c r="Q213" s="167"/>
      <c r="R213" s="167"/>
      <c r="S213" s="168"/>
      <c r="V213" s="144">
        <f t="shared" si="42"/>
        <v>0</v>
      </c>
      <c r="W213" s="144">
        <f t="shared" si="43"/>
        <v>0</v>
      </c>
      <c r="X213" s="144">
        <f t="shared" si="52"/>
        <v>0</v>
      </c>
      <c r="Y213" s="144">
        <f t="shared" si="44"/>
        <v>31.779800000000002</v>
      </c>
      <c r="Z213" s="169">
        <f t="shared" ref="Z213:Z276" si="54">ROUND(VLOOKUP(I213,TabelLønninger,VLOOKUP(E213,TabelLøntabel,2,1),1)*G213/H213,2)</f>
        <v>0</v>
      </c>
      <c r="AA213" s="274">
        <f t="shared" ref="AA213:AA276" si="55">ROUND(VLOOKUP(I213,TabelLønninger,VLOOKUP(E213,TabelPensgivLøn,2))*F213/12*G213/H213,2)</f>
        <v>0</v>
      </c>
      <c r="AB213" s="169">
        <f t="shared" si="45"/>
        <v>0</v>
      </c>
      <c r="AC213" s="274">
        <f t="shared" ref="AC213:AC276" si="56">ROUND(AB213*F213,2)</f>
        <v>0</v>
      </c>
      <c r="AD213" s="169">
        <f t="shared" ref="AD213:AD276" si="57">ROUND(VLOOKUP(I213+K213,TabelLønninger,VLOOKUP(E213,TabelLøntabel,2,1),1)*G213/H213,2)-Z213</f>
        <v>0</v>
      </c>
      <c r="AE213" s="274">
        <f t="shared" ref="AE213:AE276" si="58">ROUND(VLOOKUP(I213+K213,TabelLønninger,VLOOKUP(E213,TabelPensgivLøn,2))*F213/12*G213/H213,2)-AA213</f>
        <v>0</v>
      </c>
      <c r="AF213" s="169">
        <f t="shared" si="46"/>
        <v>0</v>
      </c>
      <c r="AG213" s="274">
        <f t="shared" ref="AG213:AG276" si="59">ROUND(AF213*F213,2)</f>
        <v>0</v>
      </c>
      <c r="AH213" s="169">
        <f t="shared" si="47"/>
        <v>0</v>
      </c>
      <c r="AI213" s="169"/>
      <c r="AJ213" s="169">
        <f t="shared" si="48"/>
        <v>0</v>
      </c>
      <c r="AK213" s="169">
        <f t="shared" si="49"/>
        <v>0</v>
      </c>
      <c r="AL213" s="169"/>
      <c r="AM213" s="169"/>
      <c r="AN213" s="169"/>
      <c r="AQ213" s="169"/>
      <c r="AW213" s="144">
        <f t="shared" si="50"/>
        <v>0</v>
      </c>
    </row>
    <row r="214" spans="1:49" ht="9.75" thickBot="1">
      <c r="A214" s="175"/>
      <c r="B214" s="176"/>
      <c r="C214" s="176"/>
      <c r="D214" s="170" t="str">
        <f t="shared" si="53"/>
        <v xml:space="preserve"> </v>
      </c>
      <c r="E214" s="178"/>
      <c r="F214" s="288">
        <v>0</v>
      </c>
      <c r="G214" s="178">
        <v>37</v>
      </c>
      <c r="H214" s="178">
        <v>37</v>
      </c>
      <c r="I214" s="178"/>
      <c r="J214" s="180"/>
      <c r="K214" s="178"/>
      <c r="L214" s="180"/>
      <c r="M214" s="180"/>
      <c r="N214" s="178"/>
      <c r="O214" s="178"/>
      <c r="P214" s="178"/>
      <c r="Q214" s="171">
        <f>AS214</f>
        <v>0</v>
      </c>
      <c r="R214" s="171">
        <f>AT214</f>
        <v>0</v>
      </c>
      <c r="S214" s="172">
        <f>AU214</f>
        <v>0</v>
      </c>
      <c r="U214" s="144">
        <f>IF(OR(C213=5,C214=5),0,1)</f>
        <v>1</v>
      </c>
      <c r="V214" s="144">
        <f t="shared" ref="V214:V277" si="60">VLOOKUP(C214,TabelRammeforbrug,3,1)</f>
        <v>0</v>
      </c>
      <c r="W214" s="144">
        <f t="shared" ref="W214:W277" si="61">VLOOKUP(C214,FraTil,3,1)</f>
        <v>0</v>
      </c>
      <c r="X214" s="144">
        <f t="shared" si="52"/>
        <v>0</v>
      </c>
      <c r="Y214" s="144">
        <f t="shared" ref="Y214:Y277" si="62">VLOOKUP(E214,TabelPctReg,2)</f>
        <v>31.779800000000002</v>
      </c>
      <c r="Z214" s="169">
        <f t="shared" si="54"/>
        <v>0</v>
      </c>
      <c r="AA214" s="274">
        <f t="shared" si="55"/>
        <v>0</v>
      </c>
      <c r="AB214" s="169">
        <f t="shared" ref="AB214:AB277" si="63">ROUND(J214/12*(1+Y214%),2)*G214/H214</f>
        <v>0</v>
      </c>
      <c r="AC214" s="274">
        <f t="shared" si="56"/>
        <v>0</v>
      </c>
      <c r="AD214" s="169">
        <f t="shared" si="57"/>
        <v>0</v>
      </c>
      <c r="AE214" s="274">
        <f t="shared" si="58"/>
        <v>0</v>
      </c>
      <c r="AF214" s="169">
        <f t="shared" ref="AF214:AF277" si="64">ROUND(L214/12*(1+Y214%),2)*G214/H214</f>
        <v>0</v>
      </c>
      <c r="AG214" s="274">
        <f t="shared" si="59"/>
        <v>0</v>
      </c>
      <c r="AH214" s="169">
        <f t="shared" ref="AH214:AH277" si="65">ROUND((Z214+AB214+AD214+AF214)*X214%,2)</f>
        <v>0</v>
      </c>
      <c r="AI214" s="169"/>
      <c r="AJ214" s="169">
        <f t="shared" ref="AJ214:AJ277" si="66">SUM(Z214:AH214)</f>
        <v>0</v>
      </c>
      <c r="AK214" s="169">
        <f t="shared" ref="AK214:AK277" si="67">AJ214*12</f>
        <v>0</v>
      </c>
      <c r="AL214" s="169"/>
      <c r="AM214" s="169">
        <f>AK213*W213+AK214*W214</f>
        <v>0</v>
      </c>
      <c r="AN214" s="169">
        <f>(SUM(AD213:AG213)*W213+SUM(AD214:AG214)*W214)*12*VLOOKUP(C214,JNovergang,3,1)</f>
        <v>0</v>
      </c>
      <c r="AO214" s="169">
        <f>AM214-AN214</f>
        <v>0</v>
      </c>
      <c r="AP214" s="169">
        <f>M214*(100+X214)%</f>
        <v>0</v>
      </c>
      <c r="AQ214" s="274">
        <f>ROUND(M214*F214,2)</f>
        <v>0</v>
      </c>
      <c r="AS214" s="274">
        <f>ROUND((AP214+AQ214)+AM214*(N214/12),0)</f>
        <v>0</v>
      </c>
      <c r="AT214" s="274">
        <f>ROUND(AM214*(O214/12),0)</f>
        <v>0</v>
      </c>
      <c r="AU214" s="274">
        <f>ROUND(AM214*(P214/12)*U214,0)</f>
        <v>0</v>
      </c>
      <c r="AW214" s="144">
        <f t="shared" ref="AW214:AW277" si="68">IF(ISNUMBER(C214),ROW(),0)</f>
        <v>0</v>
      </c>
    </row>
    <row r="215" spans="1:49">
      <c r="A215" s="173"/>
      <c r="B215" s="174"/>
      <c r="C215" s="174"/>
      <c r="D215" s="165" t="str">
        <f t="shared" si="53"/>
        <v xml:space="preserve"> </v>
      </c>
      <c r="E215" s="177"/>
      <c r="F215" s="287">
        <v>0</v>
      </c>
      <c r="G215" s="177">
        <v>37</v>
      </c>
      <c r="H215" s="177">
        <v>37</v>
      </c>
      <c r="I215" s="177"/>
      <c r="J215" s="179"/>
      <c r="K215" s="177"/>
      <c r="L215" s="179"/>
      <c r="M215" s="166"/>
      <c r="N215" s="166"/>
      <c r="O215" s="166"/>
      <c r="P215" s="166"/>
      <c r="Q215" s="167"/>
      <c r="R215" s="167"/>
      <c r="S215" s="168"/>
      <c r="V215" s="144">
        <f t="shared" si="60"/>
        <v>0</v>
      </c>
      <c r="W215" s="144">
        <f t="shared" si="61"/>
        <v>0</v>
      </c>
      <c r="X215" s="144">
        <f t="shared" si="52"/>
        <v>0</v>
      </c>
      <c r="Y215" s="144">
        <f t="shared" si="62"/>
        <v>31.779800000000002</v>
      </c>
      <c r="Z215" s="169">
        <f t="shared" si="54"/>
        <v>0</v>
      </c>
      <c r="AA215" s="274">
        <f t="shared" si="55"/>
        <v>0</v>
      </c>
      <c r="AB215" s="169">
        <f t="shared" si="63"/>
        <v>0</v>
      </c>
      <c r="AC215" s="274">
        <f t="shared" si="56"/>
        <v>0</v>
      </c>
      <c r="AD215" s="169">
        <f t="shared" si="57"/>
        <v>0</v>
      </c>
      <c r="AE215" s="274">
        <f t="shared" si="58"/>
        <v>0</v>
      </c>
      <c r="AF215" s="169">
        <f t="shared" si="64"/>
        <v>0</v>
      </c>
      <c r="AG215" s="274">
        <f t="shared" si="59"/>
        <v>0</v>
      </c>
      <c r="AH215" s="169">
        <f t="shared" si="65"/>
        <v>0</v>
      </c>
      <c r="AI215" s="169"/>
      <c r="AJ215" s="169">
        <f t="shared" si="66"/>
        <v>0</v>
      </c>
      <c r="AK215" s="169">
        <f t="shared" si="67"/>
        <v>0</v>
      </c>
      <c r="AL215" s="169"/>
      <c r="AM215" s="169"/>
      <c r="AN215" s="169"/>
      <c r="AQ215" s="169"/>
      <c r="AW215" s="144">
        <f t="shared" si="68"/>
        <v>0</v>
      </c>
    </row>
    <row r="216" spans="1:49" ht="9.75" thickBot="1">
      <c r="A216" s="175"/>
      <c r="B216" s="176"/>
      <c r="C216" s="176"/>
      <c r="D216" s="170" t="str">
        <f t="shared" si="53"/>
        <v xml:space="preserve"> </v>
      </c>
      <c r="E216" s="178"/>
      <c r="F216" s="288">
        <v>0</v>
      </c>
      <c r="G216" s="178">
        <v>37</v>
      </c>
      <c r="H216" s="178">
        <v>37</v>
      </c>
      <c r="I216" s="178"/>
      <c r="J216" s="180"/>
      <c r="K216" s="178"/>
      <c r="L216" s="180"/>
      <c r="M216" s="180"/>
      <c r="N216" s="178"/>
      <c r="O216" s="178"/>
      <c r="P216" s="178"/>
      <c r="Q216" s="171">
        <f>AS216</f>
        <v>0</v>
      </c>
      <c r="R216" s="171">
        <f>AT216</f>
        <v>0</v>
      </c>
      <c r="S216" s="172">
        <f>AU216</f>
        <v>0</v>
      </c>
      <c r="U216" s="144">
        <f>IF(OR(C215=5,C216=5),0,1)</f>
        <v>1</v>
      </c>
      <c r="V216" s="144">
        <f t="shared" si="60"/>
        <v>0</v>
      </c>
      <c r="W216" s="144">
        <f t="shared" si="61"/>
        <v>0</v>
      </c>
      <c r="X216" s="144">
        <f t="shared" si="52"/>
        <v>0</v>
      </c>
      <c r="Y216" s="144">
        <f t="shared" si="62"/>
        <v>31.779800000000002</v>
      </c>
      <c r="Z216" s="169">
        <f t="shared" si="54"/>
        <v>0</v>
      </c>
      <c r="AA216" s="274">
        <f t="shared" si="55"/>
        <v>0</v>
      </c>
      <c r="AB216" s="169">
        <f t="shared" si="63"/>
        <v>0</v>
      </c>
      <c r="AC216" s="274">
        <f t="shared" si="56"/>
        <v>0</v>
      </c>
      <c r="AD216" s="169">
        <f t="shared" si="57"/>
        <v>0</v>
      </c>
      <c r="AE216" s="274">
        <f t="shared" si="58"/>
        <v>0</v>
      </c>
      <c r="AF216" s="169">
        <f t="shared" si="64"/>
        <v>0</v>
      </c>
      <c r="AG216" s="274">
        <f t="shared" si="59"/>
        <v>0</v>
      </c>
      <c r="AH216" s="169">
        <f t="shared" si="65"/>
        <v>0</v>
      </c>
      <c r="AI216" s="169"/>
      <c r="AJ216" s="169">
        <f t="shared" si="66"/>
        <v>0</v>
      </c>
      <c r="AK216" s="169">
        <f t="shared" si="67"/>
        <v>0</v>
      </c>
      <c r="AL216" s="169"/>
      <c r="AM216" s="169">
        <f>AK215*W215+AK216*W216</f>
        <v>0</v>
      </c>
      <c r="AN216" s="169">
        <f>(SUM(AD215:AG215)*W215+SUM(AD216:AG216)*W216)*12*VLOOKUP(C216,JNovergang,3,1)</f>
        <v>0</v>
      </c>
      <c r="AO216" s="169">
        <f>AM216-AN216</f>
        <v>0</v>
      </c>
      <c r="AP216" s="169">
        <f>M216*(100+X216)%</f>
        <v>0</v>
      </c>
      <c r="AQ216" s="274">
        <f>ROUND(M216*F216,2)</f>
        <v>0</v>
      </c>
      <c r="AS216" s="274">
        <f>ROUND((AP216+AQ216)+AM216*(N216/12),0)</f>
        <v>0</v>
      </c>
      <c r="AT216" s="274">
        <f>ROUND(AM216*(O216/12),0)</f>
        <v>0</v>
      </c>
      <c r="AU216" s="274">
        <f>ROUND(AM216*(P216/12)*U216,0)</f>
        <v>0</v>
      </c>
      <c r="AW216" s="144">
        <f t="shared" si="68"/>
        <v>0</v>
      </c>
    </row>
    <row r="217" spans="1:49">
      <c r="A217" s="173"/>
      <c r="B217" s="174"/>
      <c r="C217" s="174"/>
      <c r="D217" s="165" t="str">
        <f t="shared" si="53"/>
        <v xml:space="preserve"> </v>
      </c>
      <c r="E217" s="177"/>
      <c r="F217" s="287">
        <v>0</v>
      </c>
      <c r="G217" s="177">
        <v>37</v>
      </c>
      <c r="H217" s="177">
        <v>37</v>
      </c>
      <c r="I217" s="177"/>
      <c r="J217" s="179"/>
      <c r="K217" s="177"/>
      <c r="L217" s="179"/>
      <c r="M217" s="166"/>
      <c r="N217" s="166"/>
      <c r="O217" s="166"/>
      <c r="P217" s="166"/>
      <c r="Q217" s="167"/>
      <c r="R217" s="167"/>
      <c r="S217" s="168"/>
      <c r="V217" s="144">
        <f t="shared" si="60"/>
        <v>0</v>
      </c>
      <c r="W217" s="144">
        <f t="shared" si="61"/>
        <v>0</v>
      </c>
      <c r="X217" s="144">
        <f t="shared" si="52"/>
        <v>0</v>
      </c>
      <c r="Y217" s="144">
        <f t="shared" si="62"/>
        <v>31.779800000000002</v>
      </c>
      <c r="Z217" s="169">
        <f t="shared" si="54"/>
        <v>0</v>
      </c>
      <c r="AA217" s="274">
        <f t="shared" si="55"/>
        <v>0</v>
      </c>
      <c r="AB217" s="169">
        <f t="shared" si="63"/>
        <v>0</v>
      </c>
      <c r="AC217" s="274">
        <f t="shared" si="56"/>
        <v>0</v>
      </c>
      <c r="AD217" s="169">
        <f t="shared" si="57"/>
        <v>0</v>
      </c>
      <c r="AE217" s="274">
        <f t="shared" si="58"/>
        <v>0</v>
      </c>
      <c r="AF217" s="169">
        <f t="shared" si="64"/>
        <v>0</v>
      </c>
      <c r="AG217" s="274">
        <f t="shared" si="59"/>
        <v>0</v>
      </c>
      <c r="AH217" s="169">
        <f t="shared" si="65"/>
        <v>0</v>
      </c>
      <c r="AI217" s="169"/>
      <c r="AJ217" s="169">
        <f t="shared" si="66"/>
        <v>0</v>
      </c>
      <c r="AK217" s="169">
        <f t="shared" si="67"/>
        <v>0</v>
      </c>
      <c r="AL217" s="169"/>
      <c r="AM217" s="169"/>
      <c r="AN217" s="169"/>
      <c r="AQ217" s="169"/>
      <c r="AW217" s="144">
        <f t="shared" si="68"/>
        <v>0</v>
      </c>
    </row>
    <row r="218" spans="1:49" ht="9.75" thickBot="1">
      <c r="A218" s="175"/>
      <c r="B218" s="176"/>
      <c r="C218" s="176"/>
      <c r="D218" s="170" t="str">
        <f t="shared" si="53"/>
        <v xml:space="preserve"> </v>
      </c>
      <c r="E218" s="178"/>
      <c r="F218" s="288">
        <v>0</v>
      </c>
      <c r="G218" s="178">
        <v>37</v>
      </c>
      <c r="H218" s="178">
        <v>37</v>
      </c>
      <c r="I218" s="178"/>
      <c r="J218" s="180"/>
      <c r="K218" s="178"/>
      <c r="L218" s="180"/>
      <c r="M218" s="180"/>
      <c r="N218" s="178"/>
      <c r="O218" s="178"/>
      <c r="P218" s="178"/>
      <c r="Q218" s="171">
        <f>AS218</f>
        <v>0</v>
      </c>
      <c r="R218" s="171">
        <f>AT218</f>
        <v>0</v>
      </c>
      <c r="S218" s="172">
        <f>AU218</f>
        <v>0</v>
      </c>
      <c r="U218" s="144">
        <f>IF(OR(C217=5,C218=5),0,1)</f>
        <v>1</v>
      </c>
      <c r="V218" s="144">
        <f t="shared" si="60"/>
        <v>0</v>
      </c>
      <c r="W218" s="144">
        <f t="shared" si="61"/>
        <v>0</v>
      </c>
      <c r="X218" s="144">
        <f t="shared" si="52"/>
        <v>0</v>
      </c>
      <c r="Y218" s="144">
        <f t="shared" si="62"/>
        <v>31.779800000000002</v>
      </c>
      <c r="Z218" s="169">
        <f t="shared" si="54"/>
        <v>0</v>
      </c>
      <c r="AA218" s="274">
        <f t="shared" si="55"/>
        <v>0</v>
      </c>
      <c r="AB218" s="169">
        <f t="shared" si="63"/>
        <v>0</v>
      </c>
      <c r="AC218" s="274">
        <f t="shared" si="56"/>
        <v>0</v>
      </c>
      <c r="AD218" s="169">
        <f t="shared" si="57"/>
        <v>0</v>
      </c>
      <c r="AE218" s="274">
        <f t="shared" si="58"/>
        <v>0</v>
      </c>
      <c r="AF218" s="169">
        <f t="shared" si="64"/>
        <v>0</v>
      </c>
      <c r="AG218" s="274">
        <f t="shared" si="59"/>
        <v>0</v>
      </c>
      <c r="AH218" s="169">
        <f t="shared" si="65"/>
        <v>0</v>
      </c>
      <c r="AI218" s="169"/>
      <c r="AJ218" s="169">
        <f t="shared" si="66"/>
        <v>0</v>
      </c>
      <c r="AK218" s="169">
        <f t="shared" si="67"/>
        <v>0</v>
      </c>
      <c r="AL218" s="169"/>
      <c r="AM218" s="169">
        <f>AK217*W217+AK218*W218</f>
        <v>0</v>
      </c>
      <c r="AN218" s="169">
        <f>(SUM(AD217:AG217)*W217+SUM(AD218:AG218)*W218)*12*VLOOKUP(C218,JNovergang,3,1)</f>
        <v>0</v>
      </c>
      <c r="AO218" s="169">
        <f>AM218-AN218</f>
        <v>0</v>
      </c>
      <c r="AP218" s="169">
        <f>M218*(100+X218)%</f>
        <v>0</v>
      </c>
      <c r="AQ218" s="274">
        <f>ROUND(M218*F218,2)</f>
        <v>0</v>
      </c>
      <c r="AS218" s="274">
        <f>ROUND((AP218+AQ218)+AM218*(N218/12),0)</f>
        <v>0</v>
      </c>
      <c r="AT218" s="274">
        <f>ROUND(AM218*(O218/12),0)</f>
        <v>0</v>
      </c>
      <c r="AU218" s="274">
        <f>ROUND(AM218*(P218/12)*U218,0)</f>
        <v>0</v>
      </c>
      <c r="AW218" s="144">
        <f t="shared" si="68"/>
        <v>0</v>
      </c>
    </row>
    <row r="219" spans="1:49">
      <c r="A219" s="173"/>
      <c r="B219" s="174"/>
      <c r="C219" s="174"/>
      <c r="D219" s="165" t="str">
        <f t="shared" si="53"/>
        <v xml:space="preserve"> </v>
      </c>
      <c r="E219" s="177"/>
      <c r="F219" s="287">
        <v>0</v>
      </c>
      <c r="G219" s="177">
        <v>37</v>
      </c>
      <c r="H219" s="177">
        <v>37</v>
      </c>
      <c r="I219" s="177"/>
      <c r="J219" s="179"/>
      <c r="K219" s="177"/>
      <c r="L219" s="179"/>
      <c r="M219" s="166"/>
      <c r="N219" s="166"/>
      <c r="O219" s="166"/>
      <c r="P219" s="166"/>
      <c r="Q219" s="167"/>
      <c r="R219" s="167"/>
      <c r="S219" s="168"/>
      <c r="V219" s="144">
        <f t="shared" si="60"/>
        <v>0</v>
      </c>
      <c r="W219" s="144">
        <f t="shared" si="61"/>
        <v>0</v>
      </c>
      <c r="X219" s="144">
        <f t="shared" si="52"/>
        <v>0</v>
      </c>
      <c r="Y219" s="144">
        <f t="shared" si="62"/>
        <v>31.779800000000002</v>
      </c>
      <c r="Z219" s="169">
        <f t="shared" si="54"/>
        <v>0</v>
      </c>
      <c r="AA219" s="274">
        <f t="shared" si="55"/>
        <v>0</v>
      </c>
      <c r="AB219" s="169">
        <f t="shared" si="63"/>
        <v>0</v>
      </c>
      <c r="AC219" s="274">
        <f t="shared" si="56"/>
        <v>0</v>
      </c>
      <c r="AD219" s="169">
        <f t="shared" si="57"/>
        <v>0</v>
      </c>
      <c r="AE219" s="274">
        <f t="shared" si="58"/>
        <v>0</v>
      </c>
      <c r="AF219" s="169">
        <f t="shared" si="64"/>
        <v>0</v>
      </c>
      <c r="AG219" s="274">
        <f t="shared" si="59"/>
        <v>0</v>
      </c>
      <c r="AH219" s="169">
        <f t="shared" si="65"/>
        <v>0</v>
      </c>
      <c r="AI219" s="169"/>
      <c r="AJ219" s="169">
        <f t="shared" si="66"/>
        <v>0</v>
      </c>
      <c r="AK219" s="169">
        <f t="shared" si="67"/>
        <v>0</v>
      </c>
      <c r="AL219" s="169"/>
      <c r="AM219" s="169"/>
      <c r="AN219" s="169"/>
      <c r="AQ219" s="169"/>
      <c r="AW219" s="144">
        <f t="shared" si="68"/>
        <v>0</v>
      </c>
    </row>
    <row r="220" spans="1:49" ht="9.75" thickBot="1">
      <c r="A220" s="175"/>
      <c r="B220" s="176"/>
      <c r="C220" s="176"/>
      <c r="D220" s="170" t="str">
        <f t="shared" si="53"/>
        <v xml:space="preserve"> </v>
      </c>
      <c r="E220" s="178"/>
      <c r="F220" s="288">
        <v>0</v>
      </c>
      <c r="G220" s="178">
        <v>37</v>
      </c>
      <c r="H220" s="178">
        <v>37</v>
      </c>
      <c r="I220" s="178"/>
      <c r="J220" s="180"/>
      <c r="K220" s="178"/>
      <c r="L220" s="180"/>
      <c r="M220" s="180"/>
      <c r="N220" s="178"/>
      <c r="O220" s="178"/>
      <c r="P220" s="178"/>
      <c r="Q220" s="171">
        <f>AS220</f>
        <v>0</v>
      </c>
      <c r="R220" s="171">
        <f>AT220</f>
        <v>0</v>
      </c>
      <c r="S220" s="172">
        <f>AU220</f>
        <v>0</v>
      </c>
      <c r="U220" s="144">
        <f>IF(OR(C219=5,C220=5),0,1)</f>
        <v>1</v>
      </c>
      <c r="V220" s="144">
        <f t="shared" si="60"/>
        <v>0</v>
      </c>
      <c r="W220" s="144">
        <f t="shared" si="61"/>
        <v>0</v>
      </c>
      <c r="X220" s="144">
        <f t="shared" si="52"/>
        <v>0</v>
      </c>
      <c r="Y220" s="144">
        <f t="shared" si="62"/>
        <v>31.779800000000002</v>
      </c>
      <c r="Z220" s="169">
        <f t="shared" si="54"/>
        <v>0</v>
      </c>
      <c r="AA220" s="274">
        <f t="shared" si="55"/>
        <v>0</v>
      </c>
      <c r="AB220" s="169">
        <f t="shared" si="63"/>
        <v>0</v>
      </c>
      <c r="AC220" s="274">
        <f t="shared" si="56"/>
        <v>0</v>
      </c>
      <c r="AD220" s="169">
        <f t="shared" si="57"/>
        <v>0</v>
      </c>
      <c r="AE220" s="274">
        <f t="shared" si="58"/>
        <v>0</v>
      </c>
      <c r="AF220" s="169">
        <f t="shared" si="64"/>
        <v>0</v>
      </c>
      <c r="AG220" s="274">
        <f t="shared" si="59"/>
        <v>0</v>
      </c>
      <c r="AH220" s="169">
        <f t="shared" si="65"/>
        <v>0</v>
      </c>
      <c r="AI220" s="169"/>
      <c r="AJ220" s="169">
        <f t="shared" si="66"/>
        <v>0</v>
      </c>
      <c r="AK220" s="169">
        <f t="shared" si="67"/>
        <v>0</v>
      </c>
      <c r="AL220" s="169"/>
      <c r="AM220" s="169">
        <f>AK219*W219+AK220*W220</f>
        <v>0</v>
      </c>
      <c r="AN220" s="169">
        <f>(SUM(AD219:AG219)*W219+SUM(AD220:AG220)*W220)*12*VLOOKUP(C220,JNovergang,3,1)</f>
        <v>0</v>
      </c>
      <c r="AO220" s="169">
        <f>AM220-AN220</f>
        <v>0</v>
      </c>
      <c r="AP220" s="169">
        <f>M220*(100+X220)%</f>
        <v>0</v>
      </c>
      <c r="AQ220" s="274">
        <f>ROUND(M220*F220,2)</f>
        <v>0</v>
      </c>
      <c r="AS220" s="274">
        <f>ROUND((AP220+AQ220)+AM220*(N220/12),0)</f>
        <v>0</v>
      </c>
      <c r="AT220" s="274">
        <f>ROUND(AM220*(O220/12),0)</f>
        <v>0</v>
      </c>
      <c r="AU220" s="274">
        <f>ROUND(AM220*(P220/12)*U220,0)</f>
        <v>0</v>
      </c>
      <c r="AW220" s="144">
        <f t="shared" si="68"/>
        <v>0</v>
      </c>
    </row>
    <row r="221" spans="1:49">
      <c r="A221" s="173"/>
      <c r="B221" s="174"/>
      <c r="C221" s="174"/>
      <c r="D221" s="165" t="str">
        <f t="shared" si="53"/>
        <v xml:space="preserve"> </v>
      </c>
      <c r="E221" s="177"/>
      <c r="F221" s="287">
        <v>0</v>
      </c>
      <c r="G221" s="177">
        <v>37</v>
      </c>
      <c r="H221" s="177">
        <v>37</v>
      </c>
      <c r="I221" s="177"/>
      <c r="J221" s="179"/>
      <c r="K221" s="177"/>
      <c r="L221" s="179"/>
      <c r="M221" s="166"/>
      <c r="N221" s="166"/>
      <c r="O221" s="166"/>
      <c r="P221" s="166"/>
      <c r="Q221" s="167"/>
      <c r="R221" s="167"/>
      <c r="S221" s="168"/>
      <c r="V221" s="144">
        <f t="shared" si="60"/>
        <v>0</v>
      </c>
      <c r="W221" s="144">
        <f t="shared" si="61"/>
        <v>0</v>
      </c>
      <c r="X221" s="144">
        <f t="shared" si="52"/>
        <v>0</v>
      </c>
      <c r="Y221" s="144">
        <f t="shared" si="62"/>
        <v>31.779800000000002</v>
      </c>
      <c r="Z221" s="169">
        <f t="shared" si="54"/>
        <v>0</v>
      </c>
      <c r="AA221" s="274">
        <f t="shared" si="55"/>
        <v>0</v>
      </c>
      <c r="AB221" s="169">
        <f t="shared" si="63"/>
        <v>0</v>
      </c>
      <c r="AC221" s="274">
        <f t="shared" si="56"/>
        <v>0</v>
      </c>
      <c r="AD221" s="169">
        <f t="shared" si="57"/>
        <v>0</v>
      </c>
      <c r="AE221" s="274">
        <f t="shared" si="58"/>
        <v>0</v>
      </c>
      <c r="AF221" s="169">
        <f t="shared" si="64"/>
        <v>0</v>
      </c>
      <c r="AG221" s="274">
        <f t="shared" si="59"/>
        <v>0</v>
      </c>
      <c r="AH221" s="169">
        <f t="shared" si="65"/>
        <v>0</v>
      </c>
      <c r="AI221" s="169"/>
      <c r="AJ221" s="169">
        <f t="shared" si="66"/>
        <v>0</v>
      </c>
      <c r="AK221" s="169">
        <f t="shared" si="67"/>
        <v>0</v>
      </c>
      <c r="AL221" s="169"/>
      <c r="AM221" s="169"/>
      <c r="AN221" s="169"/>
      <c r="AQ221" s="169"/>
      <c r="AW221" s="144">
        <f t="shared" si="68"/>
        <v>0</v>
      </c>
    </row>
    <row r="222" spans="1:49" ht="9.75" thickBot="1">
      <c r="A222" s="175"/>
      <c r="B222" s="176"/>
      <c r="C222" s="176"/>
      <c r="D222" s="170" t="str">
        <f t="shared" si="53"/>
        <v xml:space="preserve"> </v>
      </c>
      <c r="E222" s="178"/>
      <c r="F222" s="288">
        <v>0</v>
      </c>
      <c r="G222" s="178">
        <v>37</v>
      </c>
      <c r="H222" s="178">
        <v>37</v>
      </c>
      <c r="I222" s="178"/>
      <c r="J222" s="180"/>
      <c r="K222" s="178"/>
      <c r="L222" s="180"/>
      <c r="M222" s="180"/>
      <c r="N222" s="178"/>
      <c r="O222" s="178"/>
      <c r="P222" s="178"/>
      <c r="Q222" s="171">
        <f>AS222</f>
        <v>0</v>
      </c>
      <c r="R222" s="171">
        <f>AT222</f>
        <v>0</v>
      </c>
      <c r="S222" s="172">
        <f>AU222</f>
        <v>0</v>
      </c>
      <c r="U222" s="144">
        <f>IF(OR(C221=5,C222=5),0,1)</f>
        <v>1</v>
      </c>
      <c r="V222" s="144">
        <f t="shared" si="60"/>
        <v>0</v>
      </c>
      <c r="W222" s="144">
        <f t="shared" si="61"/>
        <v>0</v>
      </c>
      <c r="X222" s="144">
        <f t="shared" si="52"/>
        <v>0</v>
      </c>
      <c r="Y222" s="144">
        <f t="shared" si="62"/>
        <v>31.779800000000002</v>
      </c>
      <c r="Z222" s="169">
        <f t="shared" si="54"/>
        <v>0</v>
      </c>
      <c r="AA222" s="274">
        <f t="shared" si="55"/>
        <v>0</v>
      </c>
      <c r="AB222" s="169">
        <f t="shared" si="63"/>
        <v>0</v>
      </c>
      <c r="AC222" s="274">
        <f t="shared" si="56"/>
        <v>0</v>
      </c>
      <c r="AD222" s="169">
        <f t="shared" si="57"/>
        <v>0</v>
      </c>
      <c r="AE222" s="274">
        <f t="shared" si="58"/>
        <v>0</v>
      </c>
      <c r="AF222" s="169">
        <f t="shared" si="64"/>
        <v>0</v>
      </c>
      <c r="AG222" s="274">
        <f t="shared" si="59"/>
        <v>0</v>
      </c>
      <c r="AH222" s="169">
        <f t="shared" si="65"/>
        <v>0</v>
      </c>
      <c r="AI222" s="169"/>
      <c r="AJ222" s="169">
        <f t="shared" si="66"/>
        <v>0</v>
      </c>
      <c r="AK222" s="169">
        <f t="shared" si="67"/>
        <v>0</v>
      </c>
      <c r="AL222" s="169"/>
      <c r="AM222" s="169">
        <f>AK221*W221+AK222*W222</f>
        <v>0</v>
      </c>
      <c r="AN222" s="169">
        <f>(SUM(AD221:AG221)*W221+SUM(AD222:AG222)*W222)*12*VLOOKUP(C222,JNovergang,3,1)</f>
        <v>0</v>
      </c>
      <c r="AO222" s="169">
        <f>AM222-AN222</f>
        <v>0</v>
      </c>
      <c r="AP222" s="169">
        <f>M222*(100+X222)%</f>
        <v>0</v>
      </c>
      <c r="AQ222" s="274">
        <f>ROUND(M222*F222,2)</f>
        <v>0</v>
      </c>
      <c r="AS222" s="274">
        <f>ROUND((AP222+AQ222)+AM222*(N222/12),0)</f>
        <v>0</v>
      </c>
      <c r="AT222" s="274">
        <f>ROUND(AM222*(O222/12),0)</f>
        <v>0</v>
      </c>
      <c r="AU222" s="274">
        <f>ROUND(AM222*(P222/12)*U222,0)</f>
        <v>0</v>
      </c>
      <c r="AW222" s="144">
        <f t="shared" si="68"/>
        <v>0</v>
      </c>
    </row>
    <row r="223" spans="1:49">
      <c r="A223" s="173"/>
      <c r="B223" s="174"/>
      <c r="C223" s="174"/>
      <c r="D223" s="165" t="str">
        <f t="shared" si="53"/>
        <v xml:space="preserve"> </v>
      </c>
      <c r="E223" s="177"/>
      <c r="F223" s="287">
        <v>0</v>
      </c>
      <c r="G223" s="177">
        <v>37</v>
      </c>
      <c r="H223" s="177">
        <v>37</v>
      </c>
      <c r="I223" s="177"/>
      <c r="J223" s="179"/>
      <c r="K223" s="177"/>
      <c r="L223" s="179"/>
      <c r="M223" s="166"/>
      <c r="N223" s="166"/>
      <c r="O223" s="166"/>
      <c r="P223" s="166"/>
      <c r="Q223" s="167"/>
      <c r="R223" s="167"/>
      <c r="S223" s="168"/>
      <c r="V223" s="144">
        <f t="shared" si="60"/>
        <v>0</v>
      </c>
      <c r="W223" s="144">
        <f t="shared" si="61"/>
        <v>0</v>
      </c>
      <c r="X223" s="144">
        <f t="shared" si="52"/>
        <v>0</v>
      </c>
      <c r="Y223" s="144">
        <f t="shared" si="62"/>
        <v>31.779800000000002</v>
      </c>
      <c r="Z223" s="169">
        <f t="shared" si="54"/>
        <v>0</v>
      </c>
      <c r="AA223" s="274">
        <f t="shared" si="55"/>
        <v>0</v>
      </c>
      <c r="AB223" s="169">
        <f t="shared" si="63"/>
        <v>0</v>
      </c>
      <c r="AC223" s="274">
        <f t="shared" si="56"/>
        <v>0</v>
      </c>
      <c r="AD223" s="169">
        <f t="shared" si="57"/>
        <v>0</v>
      </c>
      <c r="AE223" s="274">
        <f t="shared" si="58"/>
        <v>0</v>
      </c>
      <c r="AF223" s="169">
        <f t="shared" si="64"/>
        <v>0</v>
      </c>
      <c r="AG223" s="274">
        <f t="shared" si="59"/>
        <v>0</v>
      </c>
      <c r="AH223" s="169">
        <f t="shared" si="65"/>
        <v>0</v>
      </c>
      <c r="AI223" s="169"/>
      <c r="AJ223" s="169">
        <f t="shared" si="66"/>
        <v>0</v>
      </c>
      <c r="AK223" s="169">
        <f t="shared" si="67"/>
        <v>0</v>
      </c>
      <c r="AL223" s="169"/>
      <c r="AM223" s="169"/>
      <c r="AN223" s="169"/>
      <c r="AQ223" s="169"/>
      <c r="AW223" s="144">
        <f t="shared" si="68"/>
        <v>0</v>
      </c>
    </row>
    <row r="224" spans="1:49" ht="9.75" thickBot="1">
      <c r="A224" s="175"/>
      <c r="B224" s="176"/>
      <c r="C224" s="176"/>
      <c r="D224" s="170" t="str">
        <f t="shared" si="53"/>
        <v xml:space="preserve"> </v>
      </c>
      <c r="E224" s="178"/>
      <c r="F224" s="288">
        <v>0</v>
      </c>
      <c r="G224" s="178">
        <v>37</v>
      </c>
      <c r="H224" s="178">
        <v>37</v>
      </c>
      <c r="I224" s="178"/>
      <c r="J224" s="180"/>
      <c r="K224" s="178"/>
      <c r="L224" s="180"/>
      <c r="M224" s="180"/>
      <c r="N224" s="178"/>
      <c r="O224" s="178"/>
      <c r="P224" s="178"/>
      <c r="Q224" s="171">
        <f>AS224</f>
        <v>0</v>
      </c>
      <c r="R224" s="171">
        <f>AT224</f>
        <v>0</v>
      </c>
      <c r="S224" s="172">
        <f>AU224</f>
        <v>0</v>
      </c>
      <c r="U224" s="144">
        <f>IF(OR(C223=5,C224=5),0,1)</f>
        <v>1</v>
      </c>
      <c r="V224" s="144">
        <f t="shared" si="60"/>
        <v>0</v>
      </c>
      <c r="W224" s="144">
        <f t="shared" si="61"/>
        <v>0</v>
      </c>
      <c r="X224" s="144">
        <f t="shared" si="52"/>
        <v>0</v>
      </c>
      <c r="Y224" s="144">
        <f t="shared" si="62"/>
        <v>31.779800000000002</v>
      </c>
      <c r="Z224" s="169">
        <f t="shared" si="54"/>
        <v>0</v>
      </c>
      <c r="AA224" s="274">
        <f t="shared" si="55"/>
        <v>0</v>
      </c>
      <c r="AB224" s="169">
        <f t="shared" si="63"/>
        <v>0</v>
      </c>
      <c r="AC224" s="274">
        <f t="shared" si="56"/>
        <v>0</v>
      </c>
      <c r="AD224" s="169">
        <f t="shared" si="57"/>
        <v>0</v>
      </c>
      <c r="AE224" s="274">
        <f t="shared" si="58"/>
        <v>0</v>
      </c>
      <c r="AF224" s="169">
        <f t="shared" si="64"/>
        <v>0</v>
      </c>
      <c r="AG224" s="274">
        <f t="shared" si="59"/>
        <v>0</v>
      </c>
      <c r="AH224" s="169">
        <f t="shared" si="65"/>
        <v>0</v>
      </c>
      <c r="AI224" s="169"/>
      <c r="AJ224" s="169">
        <f t="shared" si="66"/>
        <v>0</v>
      </c>
      <c r="AK224" s="169">
        <f t="shared" si="67"/>
        <v>0</v>
      </c>
      <c r="AL224" s="169"/>
      <c r="AM224" s="169">
        <f>AK223*W223+AK224*W224</f>
        <v>0</v>
      </c>
      <c r="AN224" s="169">
        <f>(SUM(AD223:AG223)*W223+SUM(AD224:AG224)*W224)*12*VLOOKUP(C224,JNovergang,3,1)</f>
        <v>0</v>
      </c>
      <c r="AO224" s="169">
        <f>AM224-AN224</f>
        <v>0</v>
      </c>
      <c r="AP224" s="169">
        <f>M224*(100+X224)%</f>
        <v>0</v>
      </c>
      <c r="AQ224" s="274">
        <f>ROUND(M224*F224,2)</f>
        <v>0</v>
      </c>
      <c r="AS224" s="274">
        <f>ROUND((AP224+AQ224)+AM224*(N224/12),0)</f>
        <v>0</v>
      </c>
      <c r="AT224" s="274">
        <f>ROUND(AM224*(O224/12),0)</f>
        <v>0</v>
      </c>
      <c r="AU224" s="274">
        <f>ROUND(AM224*(P224/12)*U224,0)</f>
        <v>0</v>
      </c>
      <c r="AW224" s="144">
        <f t="shared" si="68"/>
        <v>0</v>
      </c>
    </row>
    <row r="225" spans="1:49">
      <c r="A225" s="173"/>
      <c r="B225" s="174"/>
      <c r="C225" s="174"/>
      <c r="D225" s="165" t="str">
        <f t="shared" si="53"/>
        <v xml:space="preserve"> </v>
      </c>
      <c r="E225" s="177"/>
      <c r="F225" s="287">
        <v>0</v>
      </c>
      <c r="G225" s="177">
        <v>37</v>
      </c>
      <c r="H225" s="177">
        <v>37</v>
      </c>
      <c r="I225" s="177"/>
      <c r="J225" s="179"/>
      <c r="K225" s="177"/>
      <c r="L225" s="179"/>
      <c r="M225" s="166"/>
      <c r="N225" s="166"/>
      <c r="O225" s="166"/>
      <c r="P225" s="166"/>
      <c r="Q225" s="167"/>
      <c r="R225" s="167"/>
      <c r="S225" s="168"/>
      <c r="V225" s="144">
        <f t="shared" si="60"/>
        <v>0</v>
      </c>
      <c r="W225" s="144">
        <f t="shared" si="61"/>
        <v>0</v>
      </c>
      <c r="X225" s="144">
        <f t="shared" si="52"/>
        <v>0</v>
      </c>
      <c r="Y225" s="144">
        <f t="shared" si="62"/>
        <v>31.779800000000002</v>
      </c>
      <c r="Z225" s="169">
        <f t="shared" si="54"/>
        <v>0</v>
      </c>
      <c r="AA225" s="274">
        <f t="shared" si="55"/>
        <v>0</v>
      </c>
      <c r="AB225" s="169">
        <f t="shared" si="63"/>
        <v>0</v>
      </c>
      <c r="AC225" s="274">
        <f t="shared" si="56"/>
        <v>0</v>
      </c>
      <c r="AD225" s="169">
        <f t="shared" si="57"/>
        <v>0</v>
      </c>
      <c r="AE225" s="274">
        <f t="shared" si="58"/>
        <v>0</v>
      </c>
      <c r="AF225" s="169">
        <f t="shared" si="64"/>
        <v>0</v>
      </c>
      <c r="AG225" s="274">
        <f t="shared" si="59"/>
        <v>0</v>
      </c>
      <c r="AH225" s="169">
        <f t="shared" si="65"/>
        <v>0</v>
      </c>
      <c r="AI225" s="169"/>
      <c r="AJ225" s="169">
        <f t="shared" si="66"/>
        <v>0</v>
      </c>
      <c r="AK225" s="169">
        <f t="shared" si="67"/>
        <v>0</v>
      </c>
      <c r="AL225" s="169"/>
      <c r="AM225" s="169"/>
      <c r="AN225" s="169"/>
      <c r="AQ225" s="169"/>
      <c r="AW225" s="144">
        <f t="shared" si="68"/>
        <v>0</v>
      </c>
    </row>
    <row r="226" spans="1:49" ht="9.75" thickBot="1">
      <c r="A226" s="175"/>
      <c r="B226" s="176"/>
      <c r="C226" s="176"/>
      <c r="D226" s="170" t="str">
        <f t="shared" si="53"/>
        <v xml:space="preserve"> </v>
      </c>
      <c r="E226" s="178"/>
      <c r="F226" s="288">
        <v>0</v>
      </c>
      <c r="G226" s="178">
        <v>37</v>
      </c>
      <c r="H226" s="178">
        <v>37</v>
      </c>
      <c r="I226" s="178"/>
      <c r="J226" s="180"/>
      <c r="K226" s="178"/>
      <c r="L226" s="180"/>
      <c r="M226" s="180"/>
      <c r="N226" s="178"/>
      <c r="O226" s="178"/>
      <c r="P226" s="178"/>
      <c r="Q226" s="171">
        <f>AS226</f>
        <v>0</v>
      </c>
      <c r="R226" s="171">
        <f>AT226</f>
        <v>0</v>
      </c>
      <c r="S226" s="172">
        <f>AU226</f>
        <v>0</v>
      </c>
      <c r="U226" s="144">
        <f>IF(OR(C225=5,C226=5),0,1)</f>
        <v>1</v>
      </c>
      <c r="V226" s="144">
        <f t="shared" si="60"/>
        <v>0</v>
      </c>
      <c r="W226" s="144">
        <f t="shared" si="61"/>
        <v>0</v>
      </c>
      <c r="X226" s="144">
        <f t="shared" si="52"/>
        <v>0</v>
      </c>
      <c r="Y226" s="144">
        <f t="shared" si="62"/>
        <v>31.779800000000002</v>
      </c>
      <c r="Z226" s="169">
        <f t="shared" si="54"/>
        <v>0</v>
      </c>
      <c r="AA226" s="274">
        <f t="shared" si="55"/>
        <v>0</v>
      </c>
      <c r="AB226" s="169">
        <f t="shared" si="63"/>
        <v>0</v>
      </c>
      <c r="AC226" s="274">
        <f t="shared" si="56"/>
        <v>0</v>
      </c>
      <c r="AD226" s="169">
        <f t="shared" si="57"/>
        <v>0</v>
      </c>
      <c r="AE226" s="274">
        <f t="shared" si="58"/>
        <v>0</v>
      </c>
      <c r="AF226" s="169">
        <f t="shared" si="64"/>
        <v>0</v>
      </c>
      <c r="AG226" s="274">
        <f t="shared" si="59"/>
        <v>0</v>
      </c>
      <c r="AH226" s="169">
        <f t="shared" si="65"/>
        <v>0</v>
      </c>
      <c r="AI226" s="169"/>
      <c r="AJ226" s="169">
        <f t="shared" si="66"/>
        <v>0</v>
      </c>
      <c r="AK226" s="169">
        <f t="shared" si="67"/>
        <v>0</v>
      </c>
      <c r="AL226" s="169"/>
      <c r="AM226" s="169">
        <f>AK225*W225+AK226*W226</f>
        <v>0</v>
      </c>
      <c r="AN226" s="169">
        <f>(SUM(AD225:AG225)*W225+SUM(AD226:AG226)*W226)*12*VLOOKUP(C226,JNovergang,3,1)</f>
        <v>0</v>
      </c>
      <c r="AO226" s="169">
        <f>AM226-AN226</f>
        <v>0</v>
      </c>
      <c r="AP226" s="169">
        <f>M226*(100+X226)%</f>
        <v>0</v>
      </c>
      <c r="AQ226" s="274">
        <f>ROUND(M226*F226,2)</f>
        <v>0</v>
      </c>
      <c r="AS226" s="274">
        <f>ROUND((AP226+AQ226)+AM226*(N226/12),0)</f>
        <v>0</v>
      </c>
      <c r="AT226" s="274">
        <f>ROUND(AM226*(O226/12),0)</f>
        <v>0</v>
      </c>
      <c r="AU226" s="274">
        <f>ROUND(AM226*(P226/12)*U226,0)</f>
        <v>0</v>
      </c>
      <c r="AW226" s="144">
        <f t="shared" si="68"/>
        <v>0</v>
      </c>
    </row>
    <row r="227" spans="1:49">
      <c r="A227" s="173"/>
      <c r="B227" s="174"/>
      <c r="C227" s="174"/>
      <c r="D227" s="165" t="str">
        <f t="shared" si="53"/>
        <v xml:space="preserve"> </v>
      </c>
      <c r="E227" s="177"/>
      <c r="F227" s="287">
        <v>0</v>
      </c>
      <c r="G227" s="177">
        <v>37</v>
      </c>
      <c r="H227" s="177">
        <v>37</v>
      </c>
      <c r="I227" s="177"/>
      <c r="J227" s="179"/>
      <c r="K227" s="177"/>
      <c r="L227" s="179"/>
      <c r="M227" s="166"/>
      <c r="N227" s="166"/>
      <c r="O227" s="166"/>
      <c r="P227" s="166"/>
      <c r="Q227" s="167"/>
      <c r="R227" s="167"/>
      <c r="S227" s="168"/>
      <c r="V227" s="144">
        <f t="shared" si="60"/>
        <v>0</v>
      </c>
      <c r="W227" s="144">
        <f t="shared" si="61"/>
        <v>0</v>
      </c>
      <c r="X227" s="144">
        <f t="shared" si="52"/>
        <v>0</v>
      </c>
      <c r="Y227" s="144">
        <f t="shared" si="62"/>
        <v>31.779800000000002</v>
      </c>
      <c r="Z227" s="169">
        <f t="shared" si="54"/>
        <v>0</v>
      </c>
      <c r="AA227" s="274">
        <f t="shared" si="55"/>
        <v>0</v>
      </c>
      <c r="AB227" s="169">
        <f t="shared" si="63"/>
        <v>0</v>
      </c>
      <c r="AC227" s="274">
        <f t="shared" si="56"/>
        <v>0</v>
      </c>
      <c r="AD227" s="169">
        <f t="shared" si="57"/>
        <v>0</v>
      </c>
      <c r="AE227" s="274">
        <f t="shared" si="58"/>
        <v>0</v>
      </c>
      <c r="AF227" s="169">
        <f t="shared" si="64"/>
        <v>0</v>
      </c>
      <c r="AG227" s="274">
        <f t="shared" si="59"/>
        <v>0</v>
      </c>
      <c r="AH227" s="169">
        <f t="shared" si="65"/>
        <v>0</v>
      </c>
      <c r="AI227" s="169"/>
      <c r="AJ227" s="169">
        <f t="shared" si="66"/>
        <v>0</v>
      </c>
      <c r="AK227" s="169">
        <f t="shared" si="67"/>
        <v>0</v>
      </c>
      <c r="AL227" s="169"/>
      <c r="AM227" s="169"/>
      <c r="AN227" s="169"/>
      <c r="AQ227" s="169"/>
      <c r="AW227" s="144">
        <f t="shared" si="68"/>
        <v>0</v>
      </c>
    </row>
    <row r="228" spans="1:49" ht="9.75" thickBot="1">
      <c r="A228" s="175"/>
      <c r="B228" s="176"/>
      <c r="C228" s="176"/>
      <c r="D228" s="170" t="str">
        <f t="shared" si="53"/>
        <v xml:space="preserve"> </v>
      </c>
      <c r="E228" s="178"/>
      <c r="F228" s="288">
        <v>0</v>
      </c>
      <c r="G228" s="178">
        <v>37</v>
      </c>
      <c r="H228" s="178">
        <v>37</v>
      </c>
      <c r="I228" s="178"/>
      <c r="J228" s="180"/>
      <c r="K228" s="178"/>
      <c r="L228" s="180"/>
      <c r="M228" s="180"/>
      <c r="N228" s="178"/>
      <c r="O228" s="178"/>
      <c r="P228" s="178"/>
      <c r="Q228" s="171">
        <f>AS228</f>
        <v>0</v>
      </c>
      <c r="R228" s="171">
        <f>AT228</f>
        <v>0</v>
      </c>
      <c r="S228" s="172">
        <f>AU228</f>
        <v>0</v>
      </c>
      <c r="U228" s="144">
        <f>IF(OR(C227=5,C228=5),0,1)</f>
        <v>1</v>
      </c>
      <c r="V228" s="144">
        <f t="shared" si="60"/>
        <v>0</v>
      </c>
      <c r="W228" s="144">
        <f t="shared" si="61"/>
        <v>0</v>
      </c>
      <c r="X228" s="144">
        <f t="shared" si="52"/>
        <v>0</v>
      </c>
      <c r="Y228" s="144">
        <f t="shared" si="62"/>
        <v>31.779800000000002</v>
      </c>
      <c r="Z228" s="169">
        <f t="shared" si="54"/>
        <v>0</v>
      </c>
      <c r="AA228" s="274">
        <f t="shared" si="55"/>
        <v>0</v>
      </c>
      <c r="AB228" s="169">
        <f t="shared" si="63"/>
        <v>0</v>
      </c>
      <c r="AC228" s="274">
        <f t="shared" si="56"/>
        <v>0</v>
      </c>
      <c r="AD228" s="169">
        <f t="shared" si="57"/>
        <v>0</v>
      </c>
      <c r="AE228" s="274">
        <f t="shared" si="58"/>
        <v>0</v>
      </c>
      <c r="AF228" s="169">
        <f t="shared" si="64"/>
        <v>0</v>
      </c>
      <c r="AG228" s="274">
        <f t="shared" si="59"/>
        <v>0</v>
      </c>
      <c r="AH228" s="169">
        <f t="shared" si="65"/>
        <v>0</v>
      </c>
      <c r="AI228" s="169"/>
      <c r="AJ228" s="169">
        <f t="shared" si="66"/>
        <v>0</v>
      </c>
      <c r="AK228" s="169">
        <f t="shared" si="67"/>
        <v>0</v>
      </c>
      <c r="AL228" s="169"/>
      <c r="AM228" s="169">
        <f>AK227*W227+AK228*W228</f>
        <v>0</v>
      </c>
      <c r="AN228" s="169">
        <f>(SUM(AD227:AG227)*W227+SUM(AD228:AG228)*W228)*12*VLOOKUP(C228,JNovergang,3,1)</f>
        <v>0</v>
      </c>
      <c r="AO228" s="169">
        <f>AM228-AN228</f>
        <v>0</v>
      </c>
      <c r="AP228" s="169">
        <f>M228*(100+X228)%</f>
        <v>0</v>
      </c>
      <c r="AQ228" s="274">
        <f>ROUND(M228*F228,2)</f>
        <v>0</v>
      </c>
      <c r="AS228" s="274">
        <f>ROUND((AP228+AQ228)+AM228*(N228/12),0)</f>
        <v>0</v>
      </c>
      <c r="AT228" s="274">
        <f>ROUND(AM228*(O228/12),0)</f>
        <v>0</v>
      </c>
      <c r="AU228" s="274">
        <f>ROUND(AM228*(P228/12)*U228,0)</f>
        <v>0</v>
      </c>
      <c r="AW228" s="144">
        <f t="shared" si="68"/>
        <v>0</v>
      </c>
    </row>
    <row r="229" spans="1:49">
      <c r="A229" s="173"/>
      <c r="B229" s="174"/>
      <c r="C229" s="174"/>
      <c r="D229" s="165" t="str">
        <f t="shared" si="53"/>
        <v xml:space="preserve"> </v>
      </c>
      <c r="E229" s="177"/>
      <c r="F229" s="287">
        <v>0</v>
      </c>
      <c r="G229" s="177">
        <v>37</v>
      </c>
      <c r="H229" s="177">
        <v>37</v>
      </c>
      <c r="I229" s="177"/>
      <c r="J229" s="179"/>
      <c r="K229" s="177"/>
      <c r="L229" s="179"/>
      <c r="M229" s="166"/>
      <c r="N229" s="166"/>
      <c r="O229" s="166"/>
      <c r="P229" s="166"/>
      <c r="Q229" s="167"/>
      <c r="R229" s="167"/>
      <c r="S229" s="168"/>
      <c r="V229" s="144">
        <f t="shared" si="60"/>
        <v>0</v>
      </c>
      <c r="W229" s="144">
        <f t="shared" si="61"/>
        <v>0</v>
      </c>
      <c r="X229" s="144">
        <f t="shared" si="52"/>
        <v>0</v>
      </c>
      <c r="Y229" s="144">
        <f t="shared" si="62"/>
        <v>31.779800000000002</v>
      </c>
      <c r="Z229" s="169">
        <f t="shared" si="54"/>
        <v>0</v>
      </c>
      <c r="AA229" s="274">
        <f t="shared" si="55"/>
        <v>0</v>
      </c>
      <c r="AB229" s="169">
        <f t="shared" si="63"/>
        <v>0</v>
      </c>
      <c r="AC229" s="274">
        <f t="shared" si="56"/>
        <v>0</v>
      </c>
      <c r="AD229" s="169">
        <f t="shared" si="57"/>
        <v>0</v>
      </c>
      <c r="AE229" s="274">
        <f t="shared" si="58"/>
        <v>0</v>
      </c>
      <c r="AF229" s="169">
        <f t="shared" si="64"/>
        <v>0</v>
      </c>
      <c r="AG229" s="274">
        <f t="shared" si="59"/>
        <v>0</v>
      </c>
      <c r="AH229" s="169">
        <f t="shared" si="65"/>
        <v>0</v>
      </c>
      <c r="AI229" s="169"/>
      <c r="AJ229" s="169">
        <f t="shared" si="66"/>
        <v>0</v>
      </c>
      <c r="AK229" s="169">
        <f t="shared" si="67"/>
        <v>0</v>
      </c>
      <c r="AL229" s="169"/>
      <c r="AM229" s="169"/>
      <c r="AN229" s="169"/>
      <c r="AQ229" s="169"/>
      <c r="AW229" s="144">
        <f t="shared" si="68"/>
        <v>0</v>
      </c>
    </row>
    <row r="230" spans="1:49" ht="9.75" thickBot="1">
      <c r="A230" s="175"/>
      <c r="B230" s="176"/>
      <c r="C230" s="176"/>
      <c r="D230" s="170" t="str">
        <f t="shared" si="53"/>
        <v xml:space="preserve"> </v>
      </c>
      <c r="E230" s="178"/>
      <c r="F230" s="288">
        <v>0</v>
      </c>
      <c r="G230" s="178">
        <v>37</v>
      </c>
      <c r="H230" s="178">
        <v>37</v>
      </c>
      <c r="I230" s="178"/>
      <c r="J230" s="180"/>
      <c r="K230" s="178"/>
      <c r="L230" s="180"/>
      <c r="M230" s="180"/>
      <c r="N230" s="178"/>
      <c r="O230" s="178"/>
      <c r="P230" s="178"/>
      <c r="Q230" s="171">
        <f>AS230</f>
        <v>0</v>
      </c>
      <c r="R230" s="171">
        <f>AT230</f>
        <v>0</v>
      </c>
      <c r="S230" s="172">
        <f>AU230</f>
        <v>0</v>
      </c>
      <c r="U230" s="144">
        <f>IF(OR(C229=5,C230=5),0,1)</f>
        <v>1</v>
      </c>
      <c r="V230" s="144">
        <f t="shared" si="60"/>
        <v>0</v>
      </c>
      <c r="W230" s="144">
        <f t="shared" si="61"/>
        <v>0</v>
      </c>
      <c r="X230" s="144">
        <f t="shared" si="52"/>
        <v>0</v>
      </c>
      <c r="Y230" s="144">
        <f t="shared" si="62"/>
        <v>31.779800000000002</v>
      </c>
      <c r="Z230" s="169">
        <f t="shared" si="54"/>
        <v>0</v>
      </c>
      <c r="AA230" s="274">
        <f t="shared" si="55"/>
        <v>0</v>
      </c>
      <c r="AB230" s="169">
        <f t="shared" si="63"/>
        <v>0</v>
      </c>
      <c r="AC230" s="274">
        <f t="shared" si="56"/>
        <v>0</v>
      </c>
      <c r="AD230" s="169">
        <f t="shared" si="57"/>
        <v>0</v>
      </c>
      <c r="AE230" s="274">
        <f t="shared" si="58"/>
        <v>0</v>
      </c>
      <c r="AF230" s="169">
        <f t="shared" si="64"/>
        <v>0</v>
      </c>
      <c r="AG230" s="274">
        <f t="shared" si="59"/>
        <v>0</v>
      </c>
      <c r="AH230" s="169">
        <f t="shared" si="65"/>
        <v>0</v>
      </c>
      <c r="AI230" s="169"/>
      <c r="AJ230" s="169">
        <f t="shared" si="66"/>
        <v>0</v>
      </c>
      <c r="AK230" s="169">
        <f t="shared" si="67"/>
        <v>0</v>
      </c>
      <c r="AL230" s="169"/>
      <c r="AM230" s="169">
        <f>AK229*W229+AK230*W230</f>
        <v>0</v>
      </c>
      <c r="AN230" s="169">
        <f>(SUM(AD229:AG229)*W229+SUM(AD230:AG230)*W230)*12*VLOOKUP(C230,JNovergang,3,1)</f>
        <v>0</v>
      </c>
      <c r="AO230" s="169">
        <f>AM230-AN230</f>
        <v>0</v>
      </c>
      <c r="AP230" s="169">
        <f>M230*(100+X230)%</f>
        <v>0</v>
      </c>
      <c r="AQ230" s="274">
        <f>ROUND(M230*F230,2)</f>
        <v>0</v>
      </c>
      <c r="AS230" s="274">
        <f>ROUND((AP230+AQ230)+AM230*(N230/12),0)</f>
        <v>0</v>
      </c>
      <c r="AT230" s="274">
        <f>ROUND(AM230*(O230/12),0)</f>
        <v>0</v>
      </c>
      <c r="AU230" s="274">
        <f>ROUND(AM230*(P230/12)*U230,0)</f>
        <v>0</v>
      </c>
      <c r="AW230" s="144">
        <f t="shared" si="68"/>
        <v>0</v>
      </c>
    </row>
    <row r="231" spans="1:49">
      <c r="A231" s="173"/>
      <c r="B231" s="174"/>
      <c r="C231" s="174"/>
      <c r="D231" s="165" t="str">
        <f t="shared" si="53"/>
        <v xml:space="preserve"> </v>
      </c>
      <c r="E231" s="177"/>
      <c r="F231" s="287">
        <v>0</v>
      </c>
      <c r="G231" s="177">
        <v>37</v>
      </c>
      <c r="H231" s="177">
        <v>37</v>
      </c>
      <c r="I231" s="177"/>
      <c r="J231" s="179"/>
      <c r="K231" s="177"/>
      <c r="L231" s="179"/>
      <c r="M231" s="166"/>
      <c r="N231" s="166"/>
      <c r="O231" s="166"/>
      <c r="P231" s="166"/>
      <c r="Q231" s="167"/>
      <c r="R231" s="167"/>
      <c r="S231" s="168"/>
      <c r="V231" s="144">
        <f t="shared" si="60"/>
        <v>0</v>
      </c>
      <c r="W231" s="144">
        <f t="shared" si="61"/>
        <v>0</v>
      </c>
      <c r="X231" s="144">
        <f t="shared" si="52"/>
        <v>0</v>
      </c>
      <c r="Y231" s="144">
        <f t="shared" si="62"/>
        <v>31.779800000000002</v>
      </c>
      <c r="Z231" s="169">
        <f t="shared" si="54"/>
        <v>0</v>
      </c>
      <c r="AA231" s="274">
        <f t="shared" si="55"/>
        <v>0</v>
      </c>
      <c r="AB231" s="169">
        <f t="shared" si="63"/>
        <v>0</v>
      </c>
      <c r="AC231" s="274">
        <f t="shared" si="56"/>
        <v>0</v>
      </c>
      <c r="AD231" s="169">
        <f t="shared" si="57"/>
        <v>0</v>
      </c>
      <c r="AE231" s="274">
        <f t="shared" si="58"/>
        <v>0</v>
      </c>
      <c r="AF231" s="169">
        <f t="shared" si="64"/>
        <v>0</v>
      </c>
      <c r="AG231" s="274">
        <f t="shared" si="59"/>
        <v>0</v>
      </c>
      <c r="AH231" s="169">
        <f t="shared" si="65"/>
        <v>0</v>
      </c>
      <c r="AI231" s="169"/>
      <c r="AJ231" s="169">
        <f t="shared" si="66"/>
        <v>0</v>
      </c>
      <c r="AK231" s="169">
        <f t="shared" si="67"/>
        <v>0</v>
      </c>
      <c r="AL231" s="169"/>
      <c r="AM231" s="169"/>
      <c r="AN231" s="169"/>
      <c r="AQ231" s="169"/>
      <c r="AW231" s="144">
        <f t="shared" si="68"/>
        <v>0</v>
      </c>
    </row>
    <row r="232" spans="1:49" ht="9.75" thickBot="1">
      <c r="A232" s="175"/>
      <c r="B232" s="176"/>
      <c r="C232" s="176"/>
      <c r="D232" s="170" t="str">
        <f t="shared" si="53"/>
        <v xml:space="preserve"> </v>
      </c>
      <c r="E232" s="178"/>
      <c r="F232" s="288">
        <v>0</v>
      </c>
      <c r="G232" s="178">
        <v>37</v>
      </c>
      <c r="H232" s="178">
        <v>37</v>
      </c>
      <c r="I232" s="178"/>
      <c r="J232" s="180"/>
      <c r="K232" s="178"/>
      <c r="L232" s="180"/>
      <c r="M232" s="180"/>
      <c r="N232" s="178"/>
      <c r="O232" s="178"/>
      <c r="P232" s="178"/>
      <c r="Q232" s="171">
        <f>AS232</f>
        <v>0</v>
      </c>
      <c r="R232" s="171">
        <f>AT232</f>
        <v>0</v>
      </c>
      <c r="S232" s="172">
        <f>AU232</f>
        <v>0</v>
      </c>
      <c r="U232" s="144">
        <f>IF(OR(C231=5,C232=5),0,1)</f>
        <v>1</v>
      </c>
      <c r="V232" s="144">
        <f t="shared" si="60"/>
        <v>0</v>
      </c>
      <c r="W232" s="144">
        <f t="shared" si="61"/>
        <v>0</v>
      </c>
      <c r="X232" s="144">
        <f t="shared" si="52"/>
        <v>0</v>
      </c>
      <c r="Y232" s="144">
        <f t="shared" si="62"/>
        <v>31.779800000000002</v>
      </c>
      <c r="Z232" s="169">
        <f t="shared" si="54"/>
        <v>0</v>
      </c>
      <c r="AA232" s="274">
        <f t="shared" si="55"/>
        <v>0</v>
      </c>
      <c r="AB232" s="169">
        <f t="shared" si="63"/>
        <v>0</v>
      </c>
      <c r="AC232" s="274">
        <f t="shared" si="56"/>
        <v>0</v>
      </c>
      <c r="AD232" s="169">
        <f t="shared" si="57"/>
        <v>0</v>
      </c>
      <c r="AE232" s="274">
        <f t="shared" si="58"/>
        <v>0</v>
      </c>
      <c r="AF232" s="169">
        <f t="shared" si="64"/>
        <v>0</v>
      </c>
      <c r="AG232" s="274">
        <f t="shared" si="59"/>
        <v>0</v>
      </c>
      <c r="AH232" s="169">
        <f t="shared" si="65"/>
        <v>0</v>
      </c>
      <c r="AI232" s="169"/>
      <c r="AJ232" s="169">
        <f t="shared" si="66"/>
        <v>0</v>
      </c>
      <c r="AK232" s="169">
        <f t="shared" si="67"/>
        <v>0</v>
      </c>
      <c r="AL232" s="169"/>
      <c r="AM232" s="169">
        <f>AK231*W231+AK232*W232</f>
        <v>0</v>
      </c>
      <c r="AN232" s="169">
        <f>(SUM(AD231:AG231)*W231+SUM(AD232:AG232)*W232)*12*VLOOKUP(C232,JNovergang,3,1)</f>
        <v>0</v>
      </c>
      <c r="AO232" s="169">
        <f>AM232-AN232</f>
        <v>0</v>
      </c>
      <c r="AP232" s="169">
        <f>M232*(100+X232)%</f>
        <v>0</v>
      </c>
      <c r="AQ232" s="274">
        <f>ROUND(M232*F232,2)</f>
        <v>0</v>
      </c>
      <c r="AS232" s="274">
        <f>ROUND((AP232+AQ232)+AM232*(N232/12),0)</f>
        <v>0</v>
      </c>
      <c r="AT232" s="274">
        <f>ROUND(AM232*(O232/12),0)</f>
        <v>0</v>
      </c>
      <c r="AU232" s="274">
        <f>ROUND(AM232*(P232/12)*U232,0)</f>
        <v>0</v>
      </c>
      <c r="AW232" s="144">
        <f t="shared" si="68"/>
        <v>0</v>
      </c>
    </row>
    <row r="233" spans="1:49">
      <c r="A233" s="173"/>
      <c r="B233" s="174"/>
      <c r="C233" s="174"/>
      <c r="D233" s="165" t="str">
        <f t="shared" si="53"/>
        <v xml:space="preserve"> </v>
      </c>
      <c r="E233" s="177"/>
      <c r="F233" s="287">
        <v>0</v>
      </c>
      <c r="G233" s="177">
        <v>37</v>
      </c>
      <c r="H233" s="177">
        <v>37</v>
      </c>
      <c r="I233" s="177"/>
      <c r="J233" s="179"/>
      <c r="K233" s="177"/>
      <c r="L233" s="179"/>
      <c r="M233" s="166"/>
      <c r="N233" s="166"/>
      <c r="O233" s="166"/>
      <c r="P233" s="166"/>
      <c r="Q233" s="167"/>
      <c r="R233" s="167"/>
      <c r="S233" s="168"/>
      <c r="V233" s="144">
        <f t="shared" si="60"/>
        <v>0</v>
      </c>
      <c r="W233" s="144">
        <f t="shared" si="61"/>
        <v>0</v>
      </c>
      <c r="X233" s="144">
        <f t="shared" si="52"/>
        <v>0</v>
      </c>
      <c r="Y233" s="144">
        <f t="shared" si="62"/>
        <v>31.779800000000002</v>
      </c>
      <c r="Z233" s="169">
        <f t="shared" si="54"/>
        <v>0</v>
      </c>
      <c r="AA233" s="274">
        <f t="shared" si="55"/>
        <v>0</v>
      </c>
      <c r="AB233" s="169">
        <f t="shared" si="63"/>
        <v>0</v>
      </c>
      <c r="AC233" s="274">
        <f t="shared" si="56"/>
        <v>0</v>
      </c>
      <c r="AD233" s="169">
        <f t="shared" si="57"/>
        <v>0</v>
      </c>
      <c r="AE233" s="274">
        <f t="shared" si="58"/>
        <v>0</v>
      </c>
      <c r="AF233" s="169">
        <f t="shared" si="64"/>
        <v>0</v>
      </c>
      <c r="AG233" s="274">
        <f t="shared" si="59"/>
        <v>0</v>
      </c>
      <c r="AH233" s="169">
        <f t="shared" si="65"/>
        <v>0</v>
      </c>
      <c r="AI233" s="169"/>
      <c r="AJ233" s="169">
        <f t="shared" si="66"/>
        <v>0</v>
      </c>
      <c r="AK233" s="169">
        <f t="shared" si="67"/>
        <v>0</v>
      </c>
      <c r="AL233" s="169"/>
      <c r="AM233" s="169"/>
      <c r="AN233" s="169"/>
      <c r="AQ233" s="169"/>
      <c r="AW233" s="144">
        <f t="shared" si="68"/>
        <v>0</v>
      </c>
    </row>
    <row r="234" spans="1:49" ht="9.75" thickBot="1">
      <c r="A234" s="175"/>
      <c r="B234" s="176"/>
      <c r="C234" s="176"/>
      <c r="D234" s="170" t="str">
        <f t="shared" si="53"/>
        <v xml:space="preserve"> </v>
      </c>
      <c r="E234" s="178"/>
      <c r="F234" s="288">
        <v>0</v>
      </c>
      <c r="G234" s="178">
        <v>37</v>
      </c>
      <c r="H234" s="178">
        <v>37</v>
      </c>
      <c r="I234" s="178"/>
      <c r="J234" s="180"/>
      <c r="K234" s="178"/>
      <c r="L234" s="180"/>
      <c r="M234" s="180"/>
      <c r="N234" s="178"/>
      <c r="O234" s="178"/>
      <c r="P234" s="178"/>
      <c r="Q234" s="171">
        <f>AS234</f>
        <v>0</v>
      </c>
      <c r="R234" s="171">
        <f>AT234</f>
        <v>0</v>
      </c>
      <c r="S234" s="172">
        <f>AU234</f>
        <v>0</v>
      </c>
      <c r="U234" s="144">
        <f>IF(OR(C233=5,C234=5),0,1)</f>
        <v>1</v>
      </c>
      <c r="V234" s="144">
        <f t="shared" si="60"/>
        <v>0</v>
      </c>
      <c r="W234" s="144">
        <f t="shared" si="61"/>
        <v>0</v>
      </c>
      <c r="X234" s="144">
        <f t="shared" si="52"/>
        <v>0</v>
      </c>
      <c r="Y234" s="144">
        <f t="shared" si="62"/>
        <v>31.779800000000002</v>
      </c>
      <c r="Z234" s="169">
        <f t="shared" si="54"/>
        <v>0</v>
      </c>
      <c r="AA234" s="274">
        <f t="shared" si="55"/>
        <v>0</v>
      </c>
      <c r="AB234" s="169">
        <f t="shared" si="63"/>
        <v>0</v>
      </c>
      <c r="AC234" s="274">
        <f t="shared" si="56"/>
        <v>0</v>
      </c>
      <c r="AD234" s="169">
        <f t="shared" si="57"/>
        <v>0</v>
      </c>
      <c r="AE234" s="274">
        <f t="shared" si="58"/>
        <v>0</v>
      </c>
      <c r="AF234" s="169">
        <f t="shared" si="64"/>
        <v>0</v>
      </c>
      <c r="AG234" s="274">
        <f t="shared" si="59"/>
        <v>0</v>
      </c>
      <c r="AH234" s="169">
        <f t="shared" si="65"/>
        <v>0</v>
      </c>
      <c r="AI234" s="169"/>
      <c r="AJ234" s="169">
        <f t="shared" si="66"/>
        <v>0</v>
      </c>
      <c r="AK234" s="169">
        <f t="shared" si="67"/>
        <v>0</v>
      </c>
      <c r="AL234" s="169"/>
      <c r="AM234" s="169">
        <f>AK233*W233+AK234*W234</f>
        <v>0</v>
      </c>
      <c r="AN234" s="169">
        <f>(SUM(AD233:AG233)*W233+SUM(AD234:AG234)*W234)*12*VLOOKUP(C234,JNovergang,3,1)</f>
        <v>0</v>
      </c>
      <c r="AO234" s="169">
        <f>AM234-AN234</f>
        <v>0</v>
      </c>
      <c r="AP234" s="169">
        <f>M234*(100+X234)%</f>
        <v>0</v>
      </c>
      <c r="AQ234" s="274">
        <f>ROUND(M234*F234,2)</f>
        <v>0</v>
      </c>
      <c r="AS234" s="274">
        <f>ROUND((AP234+AQ234)+AM234*(N234/12),0)</f>
        <v>0</v>
      </c>
      <c r="AT234" s="274">
        <f>ROUND(AM234*(O234/12),0)</f>
        <v>0</v>
      </c>
      <c r="AU234" s="274">
        <f>ROUND(AM234*(P234/12)*U234,0)</f>
        <v>0</v>
      </c>
      <c r="AW234" s="144">
        <f t="shared" si="68"/>
        <v>0</v>
      </c>
    </row>
    <row r="235" spans="1:49">
      <c r="A235" s="173"/>
      <c r="B235" s="174"/>
      <c r="C235" s="174"/>
      <c r="D235" s="165" t="str">
        <f t="shared" si="53"/>
        <v xml:space="preserve"> </v>
      </c>
      <c r="E235" s="177"/>
      <c r="F235" s="287">
        <v>0</v>
      </c>
      <c r="G235" s="177">
        <v>37</v>
      </c>
      <c r="H235" s="177">
        <v>37</v>
      </c>
      <c r="I235" s="177"/>
      <c r="J235" s="179"/>
      <c r="K235" s="177"/>
      <c r="L235" s="179"/>
      <c r="M235" s="166"/>
      <c r="N235" s="166"/>
      <c r="O235" s="166"/>
      <c r="P235" s="166"/>
      <c r="Q235" s="167"/>
      <c r="R235" s="167"/>
      <c r="S235" s="168"/>
      <c r="V235" s="144">
        <f t="shared" si="60"/>
        <v>0</v>
      </c>
      <c r="W235" s="144">
        <f t="shared" si="61"/>
        <v>0</v>
      </c>
      <c r="X235" s="144">
        <f t="shared" si="52"/>
        <v>0</v>
      </c>
      <c r="Y235" s="144">
        <f t="shared" si="62"/>
        <v>31.779800000000002</v>
      </c>
      <c r="Z235" s="169">
        <f t="shared" si="54"/>
        <v>0</v>
      </c>
      <c r="AA235" s="274">
        <f t="shared" si="55"/>
        <v>0</v>
      </c>
      <c r="AB235" s="169">
        <f t="shared" si="63"/>
        <v>0</v>
      </c>
      <c r="AC235" s="274">
        <f t="shared" si="56"/>
        <v>0</v>
      </c>
      <c r="AD235" s="169">
        <f t="shared" si="57"/>
        <v>0</v>
      </c>
      <c r="AE235" s="274">
        <f t="shared" si="58"/>
        <v>0</v>
      </c>
      <c r="AF235" s="169">
        <f t="shared" si="64"/>
        <v>0</v>
      </c>
      <c r="AG235" s="274">
        <f t="shared" si="59"/>
        <v>0</v>
      </c>
      <c r="AH235" s="169">
        <f t="shared" si="65"/>
        <v>0</v>
      </c>
      <c r="AI235" s="169"/>
      <c r="AJ235" s="169">
        <f t="shared" si="66"/>
        <v>0</v>
      </c>
      <c r="AK235" s="169">
        <f t="shared" si="67"/>
        <v>0</v>
      </c>
      <c r="AL235" s="169"/>
      <c r="AM235" s="169"/>
      <c r="AN235" s="169"/>
      <c r="AQ235" s="169"/>
      <c r="AW235" s="144">
        <f t="shared" si="68"/>
        <v>0</v>
      </c>
    </row>
    <row r="236" spans="1:49" ht="9.75" thickBot="1">
      <c r="A236" s="175"/>
      <c r="B236" s="176"/>
      <c r="C236" s="176"/>
      <c r="D236" s="170" t="str">
        <f t="shared" si="53"/>
        <v xml:space="preserve"> </v>
      </c>
      <c r="E236" s="178"/>
      <c r="F236" s="288">
        <v>0</v>
      </c>
      <c r="G236" s="178">
        <v>37</v>
      </c>
      <c r="H236" s="178">
        <v>37</v>
      </c>
      <c r="I236" s="178"/>
      <c r="J236" s="180"/>
      <c r="K236" s="178"/>
      <c r="L236" s="180"/>
      <c r="M236" s="180"/>
      <c r="N236" s="178"/>
      <c r="O236" s="178"/>
      <c r="P236" s="178"/>
      <c r="Q236" s="171">
        <f>AS236</f>
        <v>0</v>
      </c>
      <c r="R236" s="171">
        <f>AT236</f>
        <v>0</v>
      </c>
      <c r="S236" s="172">
        <f>AU236</f>
        <v>0</v>
      </c>
      <c r="U236" s="144">
        <f>IF(OR(C235=5,C236=5),0,1)</f>
        <v>1</v>
      </c>
      <c r="V236" s="144">
        <f t="shared" si="60"/>
        <v>0</v>
      </c>
      <c r="W236" s="144">
        <f t="shared" si="61"/>
        <v>0</v>
      </c>
      <c r="X236" s="144">
        <f t="shared" si="52"/>
        <v>0</v>
      </c>
      <c r="Y236" s="144">
        <f t="shared" si="62"/>
        <v>31.779800000000002</v>
      </c>
      <c r="Z236" s="169">
        <f t="shared" si="54"/>
        <v>0</v>
      </c>
      <c r="AA236" s="274">
        <f t="shared" si="55"/>
        <v>0</v>
      </c>
      <c r="AB236" s="169">
        <f t="shared" si="63"/>
        <v>0</v>
      </c>
      <c r="AC236" s="274">
        <f t="shared" si="56"/>
        <v>0</v>
      </c>
      <c r="AD236" s="169">
        <f t="shared" si="57"/>
        <v>0</v>
      </c>
      <c r="AE236" s="274">
        <f t="shared" si="58"/>
        <v>0</v>
      </c>
      <c r="AF236" s="169">
        <f t="shared" si="64"/>
        <v>0</v>
      </c>
      <c r="AG236" s="274">
        <f t="shared" si="59"/>
        <v>0</v>
      </c>
      <c r="AH236" s="169">
        <f t="shared" si="65"/>
        <v>0</v>
      </c>
      <c r="AI236" s="169"/>
      <c r="AJ236" s="169">
        <f t="shared" si="66"/>
        <v>0</v>
      </c>
      <c r="AK236" s="169">
        <f t="shared" si="67"/>
        <v>0</v>
      </c>
      <c r="AL236" s="169"/>
      <c r="AM236" s="169">
        <f>AK235*W235+AK236*W236</f>
        <v>0</v>
      </c>
      <c r="AN236" s="169">
        <f>(SUM(AD235:AG235)*W235+SUM(AD236:AG236)*W236)*12*VLOOKUP(C236,JNovergang,3,1)</f>
        <v>0</v>
      </c>
      <c r="AO236" s="169">
        <f>AM236-AN236</f>
        <v>0</v>
      </c>
      <c r="AP236" s="169">
        <f>M236*(100+X236)%</f>
        <v>0</v>
      </c>
      <c r="AQ236" s="274">
        <f>ROUND(M236*F236,2)</f>
        <v>0</v>
      </c>
      <c r="AS236" s="274">
        <f>ROUND((AP236+AQ236)+AM236*(N236/12),0)</f>
        <v>0</v>
      </c>
      <c r="AT236" s="274">
        <f>ROUND(AM236*(O236/12),0)</f>
        <v>0</v>
      </c>
      <c r="AU236" s="274">
        <f>ROUND(AM236*(P236/12)*U236,0)</f>
        <v>0</v>
      </c>
      <c r="AW236" s="144">
        <f t="shared" si="68"/>
        <v>0</v>
      </c>
    </row>
    <row r="237" spans="1:49">
      <c r="A237" s="173"/>
      <c r="B237" s="174"/>
      <c r="C237" s="174"/>
      <c r="D237" s="165" t="str">
        <f t="shared" si="53"/>
        <v xml:space="preserve"> </v>
      </c>
      <c r="E237" s="177"/>
      <c r="F237" s="287">
        <v>0</v>
      </c>
      <c r="G237" s="177">
        <v>37</v>
      </c>
      <c r="H237" s="177">
        <v>37</v>
      </c>
      <c r="I237" s="177"/>
      <c r="J237" s="179"/>
      <c r="K237" s="177"/>
      <c r="L237" s="179"/>
      <c r="M237" s="166"/>
      <c r="N237" s="166"/>
      <c r="O237" s="166"/>
      <c r="P237" s="166"/>
      <c r="Q237" s="167"/>
      <c r="R237" s="167"/>
      <c r="S237" s="168"/>
      <c r="V237" s="144">
        <f t="shared" si="60"/>
        <v>0</v>
      </c>
      <c r="W237" s="144">
        <f t="shared" si="61"/>
        <v>0</v>
      </c>
      <c r="X237" s="144">
        <f t="shared" si="52"/>
        <v>0</v>
      </c>
      <c r="Y237" s="144">
        <f t="shared" si="62"/>
        <v>31.779800000000002</v>
      </c>
      <c r="Z237" s="169">
        <f t="shared" si="54"/>
        <v>0</v>
      </c>
      <c r="AA237" s="274">
        <f t="shared" si="55"/>
        <v>0</v>
      </c>
      <c r="AB237" s="169">
        <f t="shared" si="63"/>
        <v>0</v>
      </c>
      <c r="AC237" s="274">
        <f t="shared" si="56"/>
        <v>0</v>
      </c>
      <c r="AD237" s="169">
        <f t="shared" si="57"/>
        <v>0</v>
      </c>
      <c r="AE237" s="274">
        <f t="shared" si="58"/>
        <v>0</v>
      </c>
      <c r="AF237" s="169">
        <f t="shared" si="64"/>
        <v>0</v>
      </c>
      <c r="AG237" s="274">
        <f t="shared" si="59"/>
        <v>0</v>
      </c>
      <c r="AH237" s="169">
        <f t="shared" si="65"/>
        <v>0</v>
      </c>
      <c r="AI237" s="169"/>
      <c r="AJ237" s="169">
        <f t="shared" si="66"/>
        <v>0</v>
      </c>
      <c r="AK237" s="169">
        <f t="shared" si="67"/>
        <v>0</v>
      </c>
      <c r="AL237" s="169"/>
      <c r="AM237" s="169"/>
      <c r="AN237" s="169"/>
      <c r="AQ237" s="169"/>
      <c r="AW237" s="144">
        <f t="shared" si="68"/>
        <v>0</v>
      </c>
    </row>
    <row r="238" spans="1:49" ht="9.75" thickBot="1">
      <c r="A238" s="175"/>
      <c r="B238" s="176"/>
      <c r="C238" s="176"/>
      <c r="D238" s="170" t="str">
        <f t="shared" si="53"/>
        <v xml:space="preserve"> </v>
      </c>
      <c r="E238" s="178"/>
      <c r="F238" s="288">
        <v>0</v>
      </c>
      <c r="G238" s="178">
        <v>37</v>
      </c>
      <c r="H238" s="178">
        <v>37</v>
      </c>
      <c r="I238" s="178"/>
      <c r="J238" s="180"/>
      <c r="K238" s="178"/>
      <c r="L238" s="180"/>
      <c r="M238" s="180"/>
      <c r="N238" s="178"/>
      <c r="O238" s="178"/>
      <c r="P238" s="178"/>
      <c r="Q238" s="171">
        <f>AS238</f>
        <v>0</v>
      </c>
      <c r="R238" s="171">
        <f>AT238</f>
        <v>0</v>
      </c>
      <c r="S238" s="172">
        <f>AU238</f>
        <v>0</v>
      </c>
      <c r="U238" s="144">
        <f>IF(OR(C237=5,C238=5),0,1)</f>
        <v>1</v>
      </c>
      <c r="V238" s="144">
        <f t="shared" si="60"/>
        <v>0</v>
      </c>
      <c r="W238" s="144">
        <f t="shared" si="61"/>
        <v>0</v>
      </c>
      <c r="X238" s="144">
        <f t="shared" si="52"/>
        <v>0</v>
      </c>
      <c r="Y238" s="144">
        <f t="shared" si="62"/>
        <v>31.779800000000002</v>
      </c>
      <c r="Z238" s="169">
        <f t="shared" si="54"/>
        <v>0</v>
      </c>
      <c r="AA238" s="274">
        <f t="shared" si="55"/>
        <v>0</v>
      </c>
      <c r="AB238" s="169">
        <f t="shared" si="63"/>
        <v>0</v>
      </c>
      <c r="AC238" s="274">
        <f t="shared" si="56"/>
        <v>0</v>
      </c>
      <c r="AD238" s="169">
        <f t="shared" si="57"/>
        <v>0</v>
      </c>
      <c r="AE238" s="274">
        <f t="shared" si="58"/>
        <v>0</v>
      </c>
      <c r="AF238" s="169">
        <f t="shared" si="64"/>
        <v>0</v>
      </c>
      <c r="AG238" s="274">
        <f t="shared" si="59"/>
        <v>0</v>
      </c>
      <c r="AH238" s="169">
        <f t="shared" si="65"/>
        <v>0</v>
      </c>
      <c r="AI238" s="169"/>
      <c r="AJ238" s="169">
        <f t="shared" si="66"/>
        <v>0</v>
      </c>
      <c r="AK238" s="169">
        <f t="shared" si="67"/>
        <v>0</v>
      </c>
      <c r="AL238" s="169"/>
      <c r="AM238" s="169">
        <f>AK237*W237+AK238*W238</f>
        <v>0</v>
      </c>
      <c r="AN238" s="169">
        <f>(SUM(AD237:AG237)*W237+SUM(AD238:AG238)*W238)*12*VLOOKUP(C238,JNovergang,3,1)</f>
        <v>0</v>
      </c>
      <c r="AO238" s="169">
        <f>AM238-AN238</f>
        <v>0</v>
      </c>
      <c r="AP238" s="169">
        <f>M238*(100+X238)%</f>
        <v>0</v>
      </c>
      <c r="AQ238" s="274">
        <f>ROUND(M238*F238,2)</f>
        <v>0</v>
      </c>
      <c r="AS238" s="274">
        <f>ROUND((AP238+AQ238)+AM238*(N238/12),0)</f>
        <v>0</v>
      </c>
      <c r="AT238" s="274">
        <f>ROUND(AM238*(O238/12),0)</f>
        <v>0</v>
      </c>
      <c r="AU238" s="274">
        <f>ROUND(AM238*(P238/12)*U238,0)</f>
        <v>0</v>
      </c>
      <c r="AW238" s="144">
        <f t="shared" si="68"/>
        <v>0</v>
      </c>
    </row>
    <row r="239" spans="1:49">
      <c r="A239" s="173"/>
      <c r="B239" s="174"/>
      <c r="C239" s="174"/>
      <c r="D239" s="165" t="str">
        <f t="shared" si="53"/>
        <v xml:space="preserve"> </v>
      </c>
      <c r="E239" s="177"/>
      <c r="F239" s="287">
        <v>0</v>
      </c>
      <c r="G239" s="177">
        <v>37</v>
      </c>
      <c r="H239" s="177">
        <v>37</v>
      </c>
      <c r="I239" s="177"/>
      <c r="J239" s="179"/>
      <c r="K239" s="177"/>
      <c r="L239" s="179"/>
      <c r="M239" s="166"/>
      <c r="N239" s="166"/>
      <c r="O239" s="166"/>
      <c r="P239" s="166"/>
      <c r="Q239" s="167"/>
      <c r="R239" s="167"/>
      <c r="S239" s="168"/>
      <c r="V239" s="144">
        <f t="shared" si="60"/>
        <v>0</v>
      </c>
      <c r="W239" s="144">
        <f t="shared" si="61"/>
        <v>0</v>
      </c>
      <c r="X239" s="144">
        <f t="shared" si="52"/>
        <v>0</v>
      </c>
      <c r="Y239" s="144">
        <f t="shared" si="62"/>
        <v>31.779800000000002</v>
      </c>
      <c r="Z239" s="169">
        <f t="shared" si="54"/>
        <v>0</v>
      </c>
      <c r="AA239" s="274">
        <f t="shared" si="55"/>
        <v>0</v>
      </c>
      <c r="AB239" s="169">
        <f t="shared" si="63"/>
        <v>0</v>
      </c>
      <c r="AC239" s="274">
        <f t="shared" si="56"/>
        <v>0</v>
      </c>
      <c r="AD239" s="169">
        <f t="shared" si="57"/>
        <v>0</v>
      </c>
      <c r="AE239" s="274">
        <f t="shared" si="58"/>
        <v>0</v>
      </c>
      <c r="AF239" s="169">
        <f t="shared" si="64"/>
        <v>0</v>
      </c>
      <c r="AG239" s="274">
        <f t="shared" si="59"/>
        <v>0</v>
      </c>
      <c r="AH239" s="169">
        <f t="shared" si="65"/>
        <v>0</v>
      </c>
      <c r="AI239" s="169"/>
      <c r="AJ239" s="169">
        <f t="shared" si="66"/>
        <v>0</v>
      </c>
      <c r="AK239" s="169">
        <f t="shared" si="67"/>
        <v>0</v>
      </c>
      <c r="AL239" s="169"/>
      <c r="AM239" s="169"/>
      <c r="AN239" s="169"/>
      <c r="AQ239" s="169"/>
      <c r="AW239" s="144">
        <f t="shared" si="68"/>
        <v>0</v>
      </c>
    </row>
    <row r="240" spans="1:49" ht="9.75" thickBot="1">
      <c r="A240" s="175"/>
      <c r="B240" s="176"/>
      <c r="C240" s="176"/>
      <c r="D240" s="170" t="str">
        <f t="shared" si="53"/>
        <v xml:space="preserve"> </v>
      </c>
      <c r="E240" s="178"/>
      <c r="F240" s="288">
        <v>0</v>
      </c>
      <c r="G240" s="178">
        <v>37</v>
      </c>
      <c r="H240" s="178">
        <v>37</v>
      </c>
      <c r="I240" s="178"/>
      <c r="J240" s="180"/>
      <c r="K240" s="178"/>
      <c r="L240" s="180"/>
      <c r="M240" s="180"/>
      <c r="N240" s="178"/>
      <c r="O240" s="178"/>
      <c r="P240" s="178"/>
      <c r="Q240" s="171">
        <f>AS240</f>
        <v>0</v>
      </c>
      <c r="R240" s="171">
        <f>AT240</f>
        <v>0</v>
      </c>
      <c r="S240" s="172">
        <f>AU240</f>
        <v>0</v>
      </c>
      <c r="U240" s="144">
        <f>IF(OR(C239=5,C240=5),0,1)</f>
        <v>1</v>
      </c>
      <c r="V240" s="144">
        <f t="shared" si="60"/>
        <v>0</v>
      </c>
      <c r="W240" s="144">
        <f t="shared" si="61"/>
        <v>0</v>
      </c>
      <c r="X240" s="144">
        <f t="shared" si="52"/>
        <v>0</v>
      </c>
      <c r="Y240" s="144">
        <f t="shared" si="62"/>
        <v>31.779800000000002</v>
      </c>
      <c r="Z240" s="169">
        <f t="shared" si="54"/>
        <v>0</v>
      </c>
      <c r="AA240" s="274">
        <f t="shared" si="55"/>
        <v>0</v>
      </c>
      <c r="AB240" s="169">
        <f t="shared" si="63"/>
        <v>0</v>
      </c>
      <c r="AC240" s="274">
        <f t="shared" si="56"/>
        <v>0</v>
      </c>
      <c r="AD240" s="169">
        <f t="shared" si="57"/>
        <v>0</v>
      </c>
      <c r="AE240" s="274">
        <f t="shared" si="58"/>
        <v>0</v>
      </c>
      <c r="AF240" s="169">
        <f t="shared" si="64"/>
        <v>0</v>
      </c>
      <c r="AG240" s="274">
        <f t="shared" si="59"/>
        <v>0</v>
      </c>
      <c r="AH240" s="169">
        <f t="shared" si="65"/>
        <v>0</v>
      </c>
      <c r="AI240" s="169"/>
      <c r="AJ240" s="169">
        <f t="shared" si="66"/>
        <v>0</v>
      </c>
      <c r="AK240" s="169">
        <f t="shared" si="67"/>
        <v>0</v>
      </c>
      <c r="AL240" s="169"/>
      <c r="AM240" s="169">
        <f>AK239*W239+AK240*W240</f>
        <v>0</v>
      </c>
      <c r="AN240" s="169">
        <f>(SUM(AD239:AG239)*W239+SUM(AD240:AG240)*W240)*12*VLOOKUP(C240,JNovergang,3,1)</f>
        <v>0</v>
      </c>
      <c r="AO240" s="169">
        <f>AM240-AN240</f>
        <v>0</v>
      </c>
      <c r="AP240" s="169">
        <f>M240*(100+X240)%</f>
        <v>0</v>
      </c>
      <c r="AQ240" s="274">
        <f>ROUND(M240*F240,2)</f>
        <v>0</v>
      </c>
      <c r="AS240" s="274">
        <f>ROUND((AP240+AQ240)+AM240*(N240/12),0)</f>
        <v>0</v>
      </c>
      <c r="AT240" s="274">
        <f>ROUND(AM240*(O240/12),0)</f>
        <v>0</v>
      </c>
      <c r="AU240" s="274">
        <f>ROUND(AM240*(P240/12)*U240,0)</f>
        <v>0</v>
      </c>
      <c r="AW240" s="144">
        <f t="shared" si="68"/>
        <v>0</v>
      </c>
    </row>
    <row r="241" spans="1:49">
      <c r="A241" s="173"/>
      <c r="B241" s="174"/>
      <c r="C241" s="174"/>
      <c r="D241" s="165" t="str">
        <f t="shared" si="53"/>
        <v xml:space="preserve"> </v>
      </c>
      <c r="E241" s="177"/>
      <c r="F241" s="287">
        <v>0</v>
      </c>
      <c r="G241" s="177">
        <v>37</v>
      </c>
      <c r="H241" s="177">
        <v>37</v>
      </c>
      <c r="I241" s="177"/>
      <c r="J241" s="179"/>
      <c r="K241" s="177"/>
      <c r="L241" s="179"/>
      <c r="M241" s="166"/>
      <c r="N241" s="166"/>
      <c r="O241" s="166"/>
      <c r="P241" s="166"/>
      <c r="Q241" s="167"/>
      <c r="R241" s="167"/>
      <c r="S241" s="168"/>
      <c r="V241" s="144">
        <f t="shared" si="60"/>
        <v>0</v>
      </c>
      <c r="W241" s="144">
        <f t="shared" si="61"/>
        <v>0</v>
      </c>
      <c r="X241" s="144">
        <f t="shared" si="52"/>
        <v>0</v>
      </c>
      <c r="Y241" s="144">
        <f t="shared" si="62"/>
        <v>31.779800000000002</v>
      </c>
      <c r="Z241" s="169">
        <f t="shared" si="54"/>
        <v>0</v>
      </c>
      <c r="AA241" s="274">
        <f t="shared" si="55"/>
        <v>0</v>
      </c>
      <c r="AB241" s="169">
        <f t="shared" si="63"/>
        <v>0</v>
      </c>
      <c r="AC241" s="274">
        <f t="shared" si="56"/>
        <v>0</v>
      </c>
      <c r="AD241" s="169">
        <f t="shared" si="57"/>
        <v>0</v>
      </c>
      <c r="AE241" s="274">
        <f t="shared" si="58"/>
        <v>0</v>
      </c>
      <c r="AF241" s="169">
        <f t="shared" si="64"/>
        <v>0</v>
      </c>
      <c r="AG241" s="274">
        <f t="shared" si="59"/>
        <v>0</v>
      </c>
      <c r="AH241" s="169">
        <f t="shared" si="65"/>
        <v>0</v>
      </c>
      <c r="AI241" s="169"/>
      <c r="AJ241" s="169">
        <f t="shared" si="66"/>
        <v>0</v>
      </c>
      <c r="AK241" s="169">
        <f t="shared" si="67"/>
        <v>0</v>
      </c>
      <c r="AL241" s="169"/>
      <c r="AM241" s="169"/>
      <c r="AN241" s="169"/>
      <c r="AQ241" s="169"/>
      <c r="AW241" s="144">
        <f t="shared" si="68"/>
        <v>0</v>
      </c>
    </row>
    <row r="242" spans="1:49" ht="9.75" thickBot="1">
      <c r="A242" s="175"/>
      <c r="B242" s="176"/>
      <c r="C242" s="176"/>
      <c r="D242" s="170" t="str">
        <f t="shared" si="53"/>
        <v xml:space="preserve"> </v>
      </c>
      <c r="E242" s="178"/>
      <c r="F242" s="288">
        <v>0</v>
      </c>
      <c r="G242" s="178">
        <v>37</v>
      </c>
      <c r="H242" s="178">
        <v>37</v>
      </c>
      <c r="I242" s="178"/>
      <c r="J242" s="180"/>
      <c r="K242" s="178"/>
      <c r="L242" s="180"/>
      <c r="M242" s="180"/>
      <c r="N242" s="178"/>
      <c r="O242" s="178"/>
      <c r="P242" s="178"/>
      <c r="Q242" s="171">
        <f>AS242</f>
        <v>0</v>
      </c>
      <c r="R242" s="171">
        <f>AT242</f>
        <v>0</v>
      </c>
      <c r="S242" s="172">
        <f>AU242</f>
        <v>0</v>
      </c>
      <c r="U242" s="144">
        <f>IF(OR(C241=5,C242=5),0,1)</f>
        <v>1</v>
      </c>
      <c r="V242" s="144">
        <f t="shared" si="60"/>
        <v>0</v>
      </c>
      <c r="W242" s="144">
        <f t="shared" si="61"/>
        <v>0</v>
      </c>
      <c r="X242" s="144">
        <f t="shared" si="52"/>
        <v>0</v>
      </c>
      <c r="Y242" s="144">
        <f t="shared" si="62"/>
        <v>31.779800000000002</v>
      </c>
      <c r="Z242" s="169">
        <f t="shared" si="54"/>
        <v>0</v>
      </c>
      <c r="AA242" s="274">
        <f t="shared" si="55"/>
        <v>0</v>
      </c>
      <c r="AB242" s="169">
        <f t="shared" si="63"/>
        <v>0</v>
      </c>
      <c r="AC242" s="274">
        <f t="shared" si="56"/>
        <v>0</v>
      </c>
      <c r="AD242" s="169">
        <f t="shared" si="57"/>
        <v>0</v>
      </c>
      <c r="AE242" s="274">
        <f t="shared" si="58"/>
        <v>0</v>
      </c>
      <c r="AF242" s="169">
        <f t="shared" si="64"/>
        <v>0</v>
      </c>
      <c r="AG242" s="274">
        <f t="shared" si="59"/>
        <v>0</v>
      </c>
      <c r="AH242" s="169">
        <f t="shared" si="65"/>
        <v>0</v>
      </c>
      <c r="AI242" s="169"/>
      <c r="AJ242" s="169">
        <f t="shared" si="66"/>
        <v>0</v>
      </c>
      <c r="AK242" s="169">
        <f t="shared" si="67"/>
        <v>0</v>
      </c>
      <c r="AL242" s="169"/>
      <c r="AM242" s="169">
        <f>AK241*W241+AK242*W242</f>
        <v>0</v>
      </c>
      <c r="AN242" s="169">
        <f>(SUM(AD241:AG241)*W241+SUM(AD242:AG242)*W242)*12*VLOOKUP(C242,JNovergang,3,1)</f>
        <v>0</v>
      </c>
      <c r="AO242" s="169">
        <f>AM242-AN242</f>
        <v>0</v>
      </c>
      <c r="AP242" s="169">
        <f>M242*(100+X242)%</f>
        <v>0</v>
      </c>
      <c r="AQ242" s="274">
        <f>ROUND(M242*F242,2)</f>
        <v>0</v>
      </c>
      <c r="AS242" s="274">
        <f>ROUND((AP242+AQ242)+AM242*(N242/12),0)</f>
        <v>0</v>
      </c>
      <c r="AT242" s="274">
        <f>ROUND(AM242*(O242/12),0)</f>
        <v>0</v>
      </c>
      <c r="AU242" s="274">
        <f>ROUND(AM242*(P242/12)*U242,0)</f>
        <v>0</v>
      </c>
      <c r="AW242" s="144">
        <f t="shared" si="68"/>
        <v>0</v>
      </c>
    </row>
    <row r="243" spans="1:49">
      <c r="A243" s="173"/>
      <c r="B243" s="174"/>
      <c r="C243" s="174"/>
      <c r="D243" s="165" t="str">
        <f t="shared" si="53"/>
        <v xml:space="preserve"> </v>
      </c>
      <c r="E243" s="177"/>
      <c r="F243" s="287">
        <v>0</v>
      </c>
      <c r="G243" s="177">
        <v>37</v>
      </c>
      <c r="H243" s="177">
        <v>37</v>
      </c>
      <c r="I243" s="177"/>
      <c r="J243" s="179"/>
      <c r="K243" s="177"/>
      <c r="L243" s="179"/>
      <c r="M243" s="166"/>
      <c r="N243" s="166"/>
      <c r="O243" s="166"/>
      <c r="P243" s="166"/>
      <c r="Q243" s="167"/>
      <c r="R243" s="167"/>
      <c r="S243" s="168"/>
      <c r="V243" s="144">
        <f t="shared" si="60"/>
        <v>0</v>
      </c>
      <c r="W243" s="144">
        <f t="shared" si="61"/>
        <v>0</v>
      </c>
      <c r="X243" s="144">
        <f t="shared" ref="X243:X306" si="69">VLOOKUP(C243,JNferiepenge,3,1)</f>
        <v>0</v>
      </c>
      <c r="Y243" s="144">
        <f t="shared" si="62"/>
        <v>31.779800000000002</v>
      </c>
      <c r="Z243" s="169">
        <f t="shared" si="54"/>
        <v>0</v>
      </c>
      <c r="AA243" s="274">
        <f t="shared" si="55"/>
        <v>0</v>
      </c>
      <c r="AB243" s="169">
        <f t="shared" si="63"/>
        <v>0</v>
      </c>
      <c r="AC243" s="274">
        <f t="shared" si="56"/>
        <v>0</v>
      </c>
      <c r="AD243" s="169">
        <f t="shared" si="57"/>
        <v>0</v>
      </c>
      <c r="AE243" s="274">
        <f t="shared" si="58"/>
        <v>0</v>
      </c>
      <c r="AF243" s="169">
        <f t="shared" si="64"/>
        <v>0</v>
      </c>
      <c r="AG243" s="274">
        <f t="shared" si="59"/>
        <v>0</v>
      </c>
      <c r="AH243" s="169">
        <f t="shared" si="65"/>
        <v>0</v>
      </c>
      <c r="AI243" s="169"/>
      <c r="AJ243" s="169">
        <f t="shared" si="66"/>
        <v>0</v>
      </c>
      <c r="AK243" s="169">
        <f t="shared" si="67"/>
        <v>0</v>
      </c>
      <c r="AL243" s="169"/>
      <c r="AM243" s="169"/>
      <c r="AN243" s="169"/>
      <c r="AQ243" s="169"/>
      <c r="AW243" s="144">
        <f t="shared" si="68"/>
        <v>0</v>
      </c>
    </row>
    <row r="244" spans="1:49" ht="9.75" thickBot="1">
      <c r="A244" s="175"/>
      <c r="B244" s="176"/>
      <c r="C244" s="176"/>
      <c r="D244" s="170" t="str">
        <f t="shared" si="53"/>
        <v xml:space="preserve"> </v>
      </c>
      <c r="E244" s="178"/>
      <c r="F244" s="288">
        <v>0</v>
      </c>
      <c r="G244" s="178">
        <v>37</v>
      </c>
      <c r="H244" s="178">
        <v>37</v>
      </c>
      <c r="I244" s="178"/>
      <c r="J244" s="180"/>
      <c r="K244" s="178"/>
      <c r="L244" s="180"/>
      <c r="M244" s="180"/>
      <c r="N244" s="178"/>
      <c r="O244" s="178"/>
      <c r="P244" s="178"/>
      <c r="Q244" s="171">
        <f>AS244</f>
        <v>0</v>
      </c>
      <c r="R244" s="171">
        <f>AT244</f>
        <v>0</v>
      </c>
      <c r="S244" s="172">
        <f>AU244</f>
        <v>0</v>
      </c>
      <c r="U244" s="144">
        <f>IF(OR(C243=5,C244=5),0,1)</f>
        <v>1</v>
      </c>
      <c r="V244" s="144">
        <f t="shared" si="60"/>
        <v>0</v>
      </c>
      <c r="W244" s="144">
        <f t="shared" si="61"/>
        <v>0</v>
      </c>
      <c r="X244" s="144">
        <f t="shared" si="69"/>
        <v>0</v>
      </c>
      <c r="Y244" s="144">
        <f t="shared" si="62"/>
        <v>31.779800000000002</v>
      </c>
      <c r="Z244" s="169">
        <f t="shared" si="54"/>
        <v>0</v>
      </c>
      <c r="AA244" s="274">
        <f t="shared" si="55"/>
        <v>0</v>
      </c>
      <c r="AB244" s="169">
        <f t="shared" si="63"/>
        <v>0</v>
      </c>
      <c r="AC244" s="274">
        <f t="shared" si="56"/>
        <v>0</v>
      </c>
      <c r="AD244" s="169">
        <f t="shared" si="57"/>
        <v>0</v>
      </c>
      <c r="AE244" s="274">
        <f t="shared" si="58"/>
        <v>0</v>
      </c>
      <c r="AF244" s="169">
        <f t="shared" si="64"/>
        <v>0</v>
      </c>
      <c r="AG244" s="274">
        <f t="shared" si="59"/>
        <v>0</v>
      </c>
      <c r="AH244" s="169">
        <f t="shared" si="65"/>
        <v>0</v>
      </c>
      <c r="AI244" s="169"/>
      <c r="AJ244" s="169">
        <f t="shared" si="66"/>
        <v>0</v>
      </c>
      <c r="AK244" s="169">
        <f t="shared" si="67"/>
        <v>0</v>
      </c>
      <c r="AL244" s="169"/>
      <c r="AM244" s="169">
        <f>AK243*W243+AK244*W244</f>
        <v>0</v>
      </c>
      <c r="AN244" s="169">
        <f>(SUM(AD243:AG243)*W243+SUM(AD244:AG244)*W244)*12*VLOOKUP(C244,JNovergang,3,1)</f>
        <v>0</v>
      </c>
      <c r="AO244" s="169">
        <f>AM244-AN244</f>
        <v>0</v>
      </c>
      <c r="AP244" s="169">
        <f>M244*(100+X244)%</f>
        <v>0</v>
      </c>
      <c r="AQ244" s="274">
        <f>ROUND(M244*F244,2)</f>
        <v>0</v>
      </c>
      <c r="AS244" s="274">
        <f>ROUND((AP244+AQ244)+AM244*(N244/12),0)</f>
        <v>0</v>
      </c>
      <c r="AT244" s="274">
        <f>ROUND(AM244*(O244/12),0)</f>
        <v>0</v>
      </c>
      <c r="AU244" s="274">
        <f>ROUND(AM244*(P244/12)*U244,0)</f>
        <v>0</v>
      </c>
      <c r="AW244" s="144">
        <f t="shared" si="68"/>
        <v>0</v>
      </c>
    </row>
    <row r="245" spans="1:49">
      <c r="A245" s="173"/>
      <c r="B245" s="174"/>
      <c r="C245" s="174"/>
      <c r="D245" s="165" t="str">
        <f t="shared" si="53"/>
        <v xml:space="preserve"> </v>
      </c>
      <c r="E245" s="177"/>
      <c r="F245" s="287">
        <v>0</v>
      </c>
      <c r="G245" s="177">
        <v>37</v>
      </c>
      <c r="H245" s="177">
        <v>37</v>
      </c>
      <c r="I245" s="177"/>
      <c r="J245" s="179"/>
      <c r="K245" s="177"/>
      <c r="L245" s="179"/>
      <c r="M245" s="166"/>
      <c r="N245" s="166"/>
      <c r="O245" s="166"/>
      <c r="P245" s="166"/>
      <c r="Q245" s="167"/>
      <c r="R245" s="167"/>
      <c r="S245" s="168"/>
      <c r="V245" s="144">
        <f t="shared" si="60"/>
        <v>0</v>
      </c>
      <c r="W245" s="144">
        <f t="shared" si="61"/>
        <v>0</v>
      </c>
      <c r="X245" s="144">
        <f t="shared" si="69"/>
        <v>0</v>
      </c>
      <c r="Y245" s="144">
        <f t="shared" si="62"/>
        <v>31.779800000000002</v>
      </c>
      <c r="Z245" s="169">
        <f t="shared" si="54"/>
        <v>0</v>
      </c>
      <c r="AA245" s="274">
        <f t="shared" si="55"/>
        <v>0</v>
      </c>
      <c r="AB245" s="169">
        <f t="shared" si="63"/>
        <v>0</v>
      </c>
      <c r="AC245" s="274">
        <f t="shared" si="56"/>
        <v>0</v>
      </c>
      <c r="AD245" s="169">
        <f t="shared" si="57"/>
        <v>0</v>
      </c>
      <c r="AE245" s="274">
        <f t="shared" si="58"/>
        <v>0</v>
      </c>
      <c r="AF245" s="169">
        <f t="shared" si="64"/>
        <v>0</v>
      </c>
      <c r="AG245" s="274">
        <f t="shared" si="59"/>
        <v>0</v>
      </c>
      <c r="AH245" s="169">
        <f t="shared" si="65"/>
        <v>0</v>
      </c>
      <c r="AI245" s="169"/>
      <c r="AJ245" s="169">
        <f t="shared" si="66"/>
        <v>0</v>
      </c>
      <c r="AK245" s="169">
        <f t="shared" si="67"/>
        <v>0</v>
      </c>
      <c r="AL245" s="169"/>
      <c r="AM245" s="169"/>
      <c r="AN245" s="169"/>
      <c r="AQ245" s="169"/>
      <c r="AW245" s="144">
        <f t="shared" si="68"/>
        <v>0</v>
      </c>
    </row>
    <row r="246" spans="1:49" ht="9.75" thickBot="1">
      <c r="A246" s="175"/>
      <c r="B246" s="176"/>
      <c r="C246" s="176"/>
      <c r="D246" s="170" t="str">
        <f t="shared" si="53"/>
        <v xml:space="preserve"> </v>
      </c>
      <c r="E246" s="178"/>
      <c r="F246" s="288">
        <v>0</v>
      </c>
      <c r="G246" s="178">
        <v>37</v>
      </c>
      <c r="H246" s="178">
        <v>37</v>
      </c>
      <c r="I246" s="178"/>
      <c r="J246" s="180"/>
      <c r="K246" s="178"/>
      <c r="L246" s="180"/>
      <c r="M246" s="180"/>
      <c r="N246" s="178"/>
      <c r="O246" s="178"/>
      <c r="P246" s="178"/>
      <c r="Q246" s="171">
        <f>AS246</f>
        <v>0</v>
      </c>
      <c r="R246" s="171">
        <f>AT246</f>
        <v>0</v>
      </c>
      <c r="S246" s="172">
        <f>AU246</f>
        <v>0</v>
      </c>
      <c r="U246" s="144">
        <f>IF(OR(C245=5,C246=5),0,1)</f>
        <v>1</v>
      </c>
      <c r="V246" s="144">
        <f t="shared" si="60"/>
        <v>0</v>
      </c>
      <c r="W246" s="144">
        <f t="shared" si="61"/>
        <v>0</v>
      </c>
      <c r="X246" s="144">
        <f t="shared" si="69"/>
        <v>0</v>
      </c>
      <c r="Y246" s="144">
        <f t="shared" si="62"/>
        <v>31.779800000000002</v>
      </c>
      <c r="Z246" s="169">
        <f t="shared" si="54"/>
        <v>0</v>
      </c>
      <c r="AA246" s="274">
        <f t="shared" si="55"/>
        <v>0</v>
      </c>
      <c r="AB246" s="169">
        <f t="shared" si="63"/>
        <v>0</v>
      </c>
      <c r="AC246" s="274">
        <f t="shared" si="56"/>
        <v>0</v>
      </c>
      <c r="AD246" s="169">
        <f t="shared" si="57"/>
        <v>0</v>
      </c>
      <c r="AE246" s="274">
        <f t="shared" si="58"/>
        <v>0</v>
      </c>
      <c r="AF246" s="169">
        <f t="shared" si="64"/>
        <v>0</v>
      </c>
      <c r="AG246" s="274">
        <f t="shared" si="59"/>
        <v>0</v>
      </c>
      <c r="AH246" s="169">
        <f t="shared" si="65"/>
        <v>0</v>
      </c>
      <c r="AI246" s="169"/>
      <c r="AJ246" s="169">
        <f t="shared" si="66"/>
        <v>0</v>
      </c>
      <c r="AK246" s="169">
        <f t="shared" si="67"/>
        <v>0</v>
      </c>
      <c r="AL246" s="169"/>
      <c r="AM246" s="169">
        <f>AK245*W245+AK246*W246</f>
        <v>0</v>
      </c>
      <c r="AN246" s="169">
        <f>(SUM(AD245:AG245)*W245+SUM(AD246:AG246)*W246)*12*VLOOKUP(C246,JNovergang,3,1)</f>
        <v>0</v>
      </c>
      <c r="AO246" s="169">
        <f>AM246-AN246</f>
        <v>0</v>
      </c>
      <c r="AP246" s="169">
        <f>M246*(100+X246)%</f>
        <v>0</v>
      </c>
      <c r="AQ246" s="274">
        <f>ROUND(M246*F246,2)</f>
        <v>0</v>
      </c>
      <c r="AS246" s="274">
        <f>ROUND((AP246+AQ246)+AM246*(N246/12),0)</f>
        <v>0</v>
      </c>
      <c r="AT246" s="274">
        <f>ROUND(AM246*(O246/12),0)</f>
        <v>0</v>
      </c>
      <c r="AU246" s="274">
        <f>ROUND(AM246*(P246/12)*U246,0)</f>
        <v>0</v>
      </c>
      <c r="AW246" s="144">
        <f t="shared" si="68"/>
        <v>0</v>
      </c>
    </row>
    <row r="247" spans="1:49">
      <c r="A247" s="173"/>
      <c r="B247" s="174"/>
      <c r="C247" s="174"/>
      <c r="D247" s="165" t="str">
        <f t="shared" si="53"/>
        <v xml:space="preserve"> </v>
      </c>
      <c r="E247" s="177"/>
      <c r="F247" s="287">
        <v>0</v>
      </c>
      <c r="G247" s="177">
        <v>37</v>
      </c>
      <c r="H247" s="177">
        <v>37</v>
      </c>
      <c r="I247" s="177"/>
      <c r="J247" s="179"/>
      <c r="K247" s="177"/>
      <c r="L247" s="179"/>
      <c r="M247" s="166"/>
      <c r="N247" s="166"/>
      <c r="O247" s="166"/>
      <c r="P247" s="166"/>
      <c r="Q247" s="167"/>
      <c r="R247" s="167"/>
      <c r="S247" s="168"/>
      <c r="V247" s="144">
        <f t="shared" si="60"/>
        <v>0</v>
      </c>
      <c r="W247" s="144">
        <f t="shared" si="61"/>
        <v>0</v>
      </c>
      <c r="X247" s="144">
        <f t="shared" si="69"/>
        <v>0</v>
      </c>
      <c r="Y247" s="144">
        <f t="shared" si="62"/>
        <v>31.779800000000002</v>
      </c>
      <c r="Z247" s="169">
        <f t="shared" si="54"/>
        <v>0</v>
      </c>
      <c r="AA247" s="274">
        <f t="shared" si="55"/>
        <v>0</v>
      </c>
      <c r="AB247" s="169">
        <f t="shared" si="63"/>
        <v>0</v>
      </c>
      <c r="AC247" s="274">
        <f t="shared" si="56"/>
        <v>0</v>
      </c>
      <c r="AD247" s="169">
        <f t="shared" si="57"/>
        <v>0</v>
      </c>
      <c r="AE247" s="274">
        <f t="shared" si="58"/>
        <v>0</v>
      </c>
      <c r="AF247" s="169">
        <f t="shared" si="64"/>
        <v>0</v>
      </c>
      <c r="AG247" s="274">
        <f t="shared" si="59"/>
        <v>0</v>
      </c>
      <c r="AH247" s="169">
        <f t="shared" si="65"/>
        <v>0</v>
      </c>
      <c r="AI247" s="169"/>
      <c r="AJ247" s="169">
        <f t="shared" si="66"/>
        <v>0</v>
      </c>
      <c r="AK247" s="169">
        <f t="shared" si="67"/>
        <v>0</v>
      </c>
      <c r="AL247" s="169"/>
      <c r="AM247" s="169"/>
      <c r="AN247" s="169"/>
      <c r="AQ247" s="169"/>
      <c r="AW247" s="144">
        <f t="shared" si="68"/>
        <v>0</v>
      </c>
    </row>
    <row r="248" spans="1:49" ht="9.75" thickBot="1">
      <c r="A248" s="175"/>
      <c r="B248" s="176"/>
      <c r="C248" s="176"/>
      <c r="D248" s="170" t="str">
        <f t="shared" si="53"/>
        <v xml:space="preserve"> </v>
      </c>
      <c r="E248" s="178"/>
      <c r="F248" s="288">
        <v>0</v>
      </c>
      <c r="G248" s="178">
        <v>37</v>
      </c>
      <c r="H248" s="178">
        <v>37</v>
      </c>
      <c r="I248" s="178"/>
      <c r="J248" s="180"/>
      <c r="K248" s="178"/>
      <c r="L248" s="180"/>
      <c r="M248" s="180"/>
      <c r="N248" s="178"/>
      <c r="O248" s="178"/>
      <c r="P248" s="178"/>
      <c r="Q248" s="171">
        <f>AS248</f>
        <v>0</v>
      </c>
      <c r="R248" s="171">
        <f>AT248</f>
        <v>0</v>
      </c>
      <c r="S248" s="172">
        <f>AU248</f>
        <v>0</v>
      </c>
      <c r="U248" s="144">
        <f>IF(OR(C247=5,C248=5),0,1)</f>
        <v>1</v>
      </c>
      <c r="V248" s="144">
        <f t="shared" si="60"/>
        <v>0</v>
      </c>
      <c r="W248" s="144">
        <f t="shared" si="61"/>
        <v>0</v>
      </c>
      <c r="X248" s="144">
        <f t="shared" si="69"/>
        <v>0</v>
      </c>
      <c r="Y248" s="144">
        <f t="shared" si="62"/>
        <v>31.779800000000002</v>
      </c>
      <c r="Z248" s="169">
        <f t="shared" si="54"/>
        <v>0</v>
      </c>
      <c r="AA248" s="274">
        <f t="shared" si="55"/>
        <v>0</v>
      </c>
      <c r="AB248" s="169">
        <f t="shared" si="63"/>
        <v>0</v>
      </c>
      <c r="AC248" s="274">
        <f t="shared" si="56"/>
        <v>0</v>
      </c>
      <c r="AD248" s="169">
        <f t="shared" si="57"/>
        <v>0</v>
      </c>
      <c r="AE248" s="274">
        <f t="shared" si="58"/>
        <v>0</v>
      </c>
      <c r="AF248" s="169">
        <f t="shared" si="64"/>
        <v>0</v>
      </c>
      <c r="AG248" s="274">
        <f t="shared" si="59"/>
        <v>0</v>
      </c>
      <c r="AH248" s="169">
        <f t="shared" si="65"/>
        <v>0</v>
      </c>
      <c r="AI248" s="169"/>
      <c r="AJ248" s="169">
        <f t="shared" si="66"/>
        <v>0</v>
      </c>
      <c r="AK248" s="169">
        <f t="shared" si="67"/>
        <v>0</v>
      </c>
      <c r="AL248" s="169"/>
      <c r="AM248" s="169">
        <f>AK247*W247+AK248*W248</f>
        <v>0</v>
      </c>
      <c r="AN248" s="169">
        <f>(SUM(AD247:AG247)*W247+SUM(AD248:AG248)*W248)*12*VLOOKUP(C248,JNovergang,3,1)</f>
        <v>0</v>
      </c>
      <c r="AO248" s="169">
        <f>AM248-AN248</f>
        <v>0</v>
      </c>
      <c r="AP248" s="169">
        <f>M248*(100+X248)%</f>
        <v>0</v>
      </c>
      <c r="AQ248" s="274">
        <f>ROUND(M248*F248,2)</f>
        <v>0</v>
      </c>
      <c r="AS248" s="274">
        <f>ROUND((AP248+AQ248)+AM248*(N248/12),0)</f>
        <v>0</v>
      </c>
      <c r="AT248" s="274">
        <f>ROUND(AM248*(O248/12),0)</f>
        <v>0</v>
      </c>
      <c r="AU248" s="274">
        <f>ROUND(AM248*(P248/12)*U248,0)</f>
        <v>0</v>
      </c>
      <c r="AW248" s="144">
        <f t="shared" si="68"/>
        <v>0</v>
      </c>
    </row>
    <row r="249" spans="1:49">
      <c r="A249" s="173"/>
      <c r="B249" s="174"/>
      <c r="C249" s="174"/>
      <c r="D249" s="165" t="str">
        <f t="shared" si="53"/>
        <v xml:space="preserve"> </v>
      </c>
      <c r="E249" s="177"/>
      <c r="F249" s="287">
        <v>0</v>
      </c>
      <c r="G249" s="177">
        <v>37</v>
      </c>
      <c r="H249" s="177">
        <v>37</v>
      </c>
      <c r="I249" s="177"/>
      <c r="J249" s="179"/>
      <c r="K249" s="177"/>
      <c r="L249" s="179"/>
      <c r="M249" s="166"/>
      <c r="N249" s="166"/>
      <c r="O249" s="166"/>
      <c r="P249" s="166"/>
      <c r="Q249" s="167"/>
      <c r="R249" s="167"/>
      <c r="S249" s="168"/>
      <c r="V249" s="144">
        <f t="shared" si="60"/>
        <v>0</v>
      </c>
      <c r="W249" s="144">
        <f t="shared" si="61"/>
        <v>0</v>
      </c>
      <c r="X249" s="144">
        <f t="shared" si="69"/>
        <v>0</v>
      </c>
      <c r="Y249" s="144">
        <f t="shared" si="62"/>
        <v>31.779800000000002</v>
      </c>
      <c r="Z249" s="169">
        <f t="shared" si="54"/>
        <v>0</v>
      </c>
      <c r="AA249" s="274">
        <f t="shared" si="55"/>
        <v>0</v>
      </c>
      <c r="AB249" s="169">
        <f t="shared" si="63"/>
        <v>0</v>
      </c>
      <c r="AC249" s="274">
        <f t="shared" si="56"/>
        <v>0</v>
      </c>
      <c r="AD249" s="169">
        <f t="shared" si="57"/>
        <v>0</v>
      </c>
      <c r="AE249" s="274">
        <f t="shared" si="58"/>
        <v>0</v>
      </c>
      <c r="AF249" s="169">
        <f t="shared" si="64"/>
        <v>0</v>
      </c>
      <c r="AG249" s="274">
        <f t="shared" si="59"/>
        <v>0</v>
      </c>
      <c r="AH249" s="169">
        <f t="shared" si="65"/>
        <v>0</v>
      </c>
      <c r="AI249" s="169"/>
      <c r="AJ249" s="169">
        <f t="shared" si="66"/>
        <v>0</v>
      </c>
      <c r="AK249" s="169">
        <f t="shared" si="67"/>
        <v>0</v>
      </c>
      <c r="AL249" s="169"/>
      <c r="AM249" s="169"/>
      <c r="AN249" s="169"/>
      <c r="AQ249" s="169"/>
      <c r="AW249" s="144">
        <f t="shared" si="68"/>
        <v>0</v>
      </c>
    </row>
    <row r="250" spans="1:49" ht="9.75" thickBot="1">
      <c r="A250" s="175"/>
      <c r="B250" s="176"/>
      <c r="C250" s="176"/>
      <c r="D250" s="170" t="str">
        <f t="shared" si="53"/>
        <v xml:space="preserve"> </v>
      </c>
      <c r="E250" s="178"/>
      <c r="F250" s="288">
        <v>0</v>
      </c>
      <c r="G250" s="178">
        <v>37</v>
      </c>
      <c r="H250" s="178">
        <v>37</v>
      </c>
      <c r="I250" s="178"/>
      <c r="J250" s="180"/>
      <c r="K250" s="178"/>
      <c r="L250" s="180"/>
      <c r="M250" s="180"/>
      <c r="N250" s="178"/>
      <c r="O250" s="178"/>
      <c r="P250" s="178"/>
      <c r="Q250" s="171">
        <f>AS250</f>
        <v>0</v>
      </c>
      <c r="R250" s="171">
        <f>AT250</f>
        <v>0</v>
      </c>
      <c r="S250" s="172">
        <f>AU250</f>
        <v>0</v>
      </c>
      <c r="U250" s="144">
        <f>IF(OR(C249=5,C250=5),0,1)</f>
        <v>1</v>
      </c>
      <c r="V250" s="144">
        <f t="shared" si="60"/>
        <v>0</v>
      </c>
      <c r="W250" s="144">
        <f t="shared" si="61"/>
        <v>0</v>
      </c>
      <c r="X250" s="144">
        <f t="shared" si="69"/>
        <v>0</v>
      </c>
      <c r="Y250" s="144">
        <f t="shared" si="62"/>
        <v>31.779800000000002</v>
      </c>
      <c r="Z250" s="169">
        <f t="shared" si="54"/>
        <v>0</v>
      </c>
      <c r="AA250" s="274">
        <f t="shared" si="55"/>
        <v>0</v>
      </c>
      <c r="AB250" s="169">
        <f t="shared" si="63"/>
        <v>0</v>
      </c>
      <c r="AC250" s="274">
        <f t="shared" si="56"/>
        <v>0</v>
      </c>
      <c r="AD250" s="169">
        <f t="shared" si="57"/>
        <v>0</v>
      </c>
      <c r="AE250" s="274">
        <f t="shared" si="58"/>
        <v>0</v>
      </c>
      <c r="AF250" s="169">
        <f t="shared" si="64"/>
        <v>0</v>
      </c>
      <c r="AG250" s="274">
        <f t="shared" si="59"/>
        <v>0</v>
      </c>
      <c r="AH250" s="169">
        <f t="shared" si="65"/>
        <v>0</v>
      </c>
      <c r="AI250" s="169"/>
      <c r="AJ250" s="169">
        <f t="shared" si="66"/>
        <v>0</v>
      </c>
      <c r="AK250" s="169">
        <f t="shared" si="67"/>
        <v>0</v>
      </c>
      <c r="AL250" s="169"/>
      <c r="AM250" s="169">
        <f>AK249*W249+AK250*W250</f>
        <v>0</v>
      </c>
      <c r="AN250" s="169">
        <f>(SUM(AD249:AG249)*W249+SUM(AD250:AG250)*W250)*12*VLOOKUP(C250,JNovergang,3,1)</f>
        <v>0</v>
      </c>
      <c r="AO250" s="169">
        <f>AM250-AN250</f>
        <v>0</v>
      </c>
      <c r="AP250" s="169">
        <f>M250*(100+X250)%</f>
        <v>0</v>
      </c>
      <c r="AQ250" s="274">
        <f>ROUND(M250*F250,2)</f>
        <v>0</v>
      </c>
      <c r="AS250" s="274">
        <f>ROUND((AP250+AQ250)+AM250*(N250/12),0)</f>
        <v>0</v>
      </c>
      <c r="AT250" s="274">
        <f>ROUND(AM250*(O250/12),0)</f>
        <v>0</v>
      </c>
      <c r="AU250" s="274">
        <f>ROUND(AM250*(P250/12)*U250,0)</f>
        <v>0</v>
      </c>
      <c r="AW250" s="144">
        <f t="shared" si="68"/>
        <v>0</v>
      </c>
    </row>
    <row r="251" spans="1:49">
      <c r="A251" s="173"/>
      <c r="B251" s="174"/>
      <c r="C251" s="174"/>
      <c r="D251" s="165" t="str">
        <f t="shared" si="53"/>
        <v xml:space="preserve"> </v>
      </c>
      <c r="E251" s="177"/>
      <c r="F251" s="287">
        <v>0</v>
      </c>
      <c r="G251" s="177">
        <v>37</v>
      </c>
      <c r="H251" s="177">
        <v>37</v>
      </c>
      <c r="I251" s="177"/>
      <c r="J251" s="179"/>
      <c r="K251" s="177"/>
      <c r="L251" s="179"/>
      <c r="M251" s="166"/>
      <c r="N251" s="166"/>
      <c r="O251" s="166"/>
      <c r="P251" s="166"/>
      <c r="Q251" s="167"/>
      <c r="R251" s="167"/>
      <c r="S251" s="168"/>
      <c r="V251" s="144">
        <f t="shared" si="60"/>
        <v>0</v>
      </c>
      <c r="W251" s="144">
        <f t="shared" si="61"/>
        <v>0</v>
      </c>
      <c r="X251" s="144">
        <f t="shared" si="69"/>
        <v>0</v>
      </c>
      <c r="Y251" s="144">
        <f t="shared" si="62"/>
        <v>31.779800000000002</v>
      </c>
      <c r="Z251" s="169">
        <f t="shared" si="54"/>
        <v>0</v>
      </c>
      <c r="AA251" s="274">
        <f t="shared" si="55"/>
        <v>0</v>
      </c>
      <c r="AB251" s="169">
        <f t="shared" si="63"/>
        <v>0</v>
      </c>
      <c r="AC251" s="274">
        <f t="shared" si="56"/>
        <v>0</v>
      </c>
      <c r="AD251" s="169">
        <f t="shared" si="57"/>
        <v>0</v>
      </c>
      <c r="AE251" s="274">
        <f t="shared" si="58"/>
        <v>0</v>
      </c>
      <c r="AF251" s="169">
        <f t="shared" si="64"/>
        <v>0</v>
      </c>
      <c r="AG251" s="274">
        <f t="shared" si="59"/>
        <v>0</v>
      </c>
      <c r="AH251" s="169">
        <f t="shared" si="65"/>
        <v>0</v>
      </c>
      <c r="AI251" s="169"/>
      <c r="AJ251" s="169">
        <f t="shared" si="66"/>
        <v>0</v>
      </c>
      <c r="AK251" s="169">
        <f t="shared" si="67"/>
        <v>0</v>
      </c>
      <c r="AL251" s="169"/>
      <c r="AM251" s="169"/>
      <c r="AN251" s="169"/>
      <c r="AQ251" s="169"/>
      <c r="AW251" s="144">
        <f t="shared" si="68"/>
        <v>0</v>
      </c>
    </row>
    <row r="252" spans="1:49" ht="9.75" thickBot="1">
      <c r="A252" s="175"/>
      <c r="B252" s="176"/>
      <c r="C252" s="176"/>
      <c r="D252" s="170" t="str">
        <f t="shared" si="53"/>
        <v xml:space="preserve"> </v>
      </c>
      <c r="E252" s="178"/>
      <c r="F252" s="288">
        <v>0</v>
      </c>
      <c r="G252" s="178">
        <v>37</v>
      </c>
      <c r="H252" s="178">
        <v>37</v>
      </c>
      <c r="I252" s="178"/>
      <c r="J252" s="180"/>
      <c r="K252" s="178"/>
      <c r="L252" s="180"/>
      <c r="M252" s="180"/>
      <c r="N252" s="178"/>
      <c r="O252" s="178"/>
      <c r="P252" s="178"/>
      <c r="Q252" s="171">
        <f>AS252</f>
        <v>0</v>
      </c>
      <c r="R252" s="171">
        <f>AT252</f>
        <v>0</v>
      </c>
      <c r="S252" s="172">
        <f>AU252</f>
        <v>0</v>
      </c>
      <c r="U252" s="144">
        <f>IF(OR(C251=5,C252=5),0,1)</f>
        <v>1</v>
      </c>
      <c r="V252" s="144">
        <f t="shared" si="60"/>
        <v>0</v>
      </c>
      <c r="W252" s="144">
        <f t="shared" si="61"/>
        <v>0</v>
      </c>
      <c r="X252" s="144">
        <f t="shared" si="69"/>
        <v>0</v>
      </c>
      <c r="Y252" s="144">
        <f t="shared" si="62"/>
        <v>31.779800000000002</v>
      </c>
      <c r="Z252" s="169">
        <f t="shared" si="54"/>
        <v>0</v>
      </c>
      <c r="AA252" s="274">
        <f t="shared" si="55"/>
        <v>0</v>
      </c>
      <c r="AB252" s="169">
        <f t="shared" si="63"/>
        <v>0</v>
      </c>
      <c r="AC252" s="274">
        <f t="shared" si="56"/>
        <v>0</v>
      </c>
      <c r="AD252" s="169">
        <f t="shared" si="57"/>
        <v>0</v>
      </c>
      <c r="AE252" s="274">
        <f t="shared" si="58"/>
        <v>0</v>
      </c>
      <c r="AF252" s="169">
        <f t="shared" si="64"/>
        <v>0</v>
      </c>
      <c r="AG252" s="274">
        <f t="shared" si="59"/>
        <v>0</v>
      </c>
      <c r="AH252" s="169">
        <f t="shared" si="65"/>
        <v>0</v>
      </c>
      <c r="AI252" s="169"/>
      <c r="AJ252" s="169">
        <f t="shared" si="66"/>
        <v>0</v>
      </c>
      <c r="AK252" s="169">
        <f t="shared" si="67"/>
        <v>0</v>
      </c>
      <c r="AL252" s="169"/>
      <c r="AM252" s="169">
        <f>AK251*W251+AK252*W252</f>
        <v>0</v>
      </c>
      <c r="AN252" s="169">
        <f>(SUM(AD251:AG251)*W251+SUM(AD252:AG252)*W252)*12*VLOOKUP(C252,JNovergang,3,1)</f>
        <v>0</v>
      </c>
      <c r="AO252" s="169">
        <f>AM252-AN252</f>
        <v>0</v>
      </c>
      <c r="AP252" s="169">
        <f>M252*(100+X252)%</f>
        <v>0</v>
      </c>
      <c r="AQ252" s="274">
        <f>ROUND(M252*F252,2)</f>
        <v>0</v>
      </c>
      <c r="AS252" s="274">
        <f>ROUND((AP252+AQ252)+AM252*(N252/12),0)</f>
        <v>0</v>
      </c>
      <c r="AT252" s="274">
        <f>ROUND(AM252*(O252/12),0)</f>
        <v>0</v>
      </c>
      <c r="AU252" s="274">
        <f>ROUND(AM252*(P252/12)*U252,0)</f>
        <v>0</v>
      </c>
      <c r="AW252" s="144">
        <f t="shared" si="68"/>
        <v>0</v>
      </c>
    </row>
    <row r="253" spans="1:49">
      <c r="A253" s="173"/>
      <c r="B253" s="174"/>
      <c r="C253" s="174"/>
      <c r="D253" s="165" t="str">
        <f t="shared" si="53"/>
        <v xml:space="preserve"> </v>
      </c>
      <c r="E253" s="177"/>
      <c r="F253" s="287">
        <v>0</v>
      </c>
      <c r="G253" s="177">
        <v>37</v>
      </c>
      <c r="H253" s="177">
        <v>37</v>
      </c>
      <c r="I253" s="177"/>
      <c r="J253" s="179"/>
      <c r="K253" s="177"/>
      <c r="L253" s="179"/>
      <c r="M253" s="166"/>
      <c r="N253" s="166"/>
      <c r="O253" s="166"/>
      <c r="P253" s="166"/>
      <c r="Q253" s="167"/>
      <c r="R253" s="167"/>
      <c r="S253" s="168"/>
      <c r="V253" s="144">
        <f t="shared" si="60"/>
        <v>0</v>
      </c>
      <c r="W253" s="144">
        <f t="shared" si="61"/>
        <v>0</v>
      </c>
      <c r="X253" s="144">
        <f t="shared" si="69"/>
        <v>0</v>
      </c>
      <c r="Y253" s="144">
        <f t="shared" si="62"/>
        <v>31.779800000000002</v>
      </c>
      <c r="Z253" s="169">
        <f t="shared" si="54"/>
        <v>0</v>
      </c>
      <c r="AA253" s="274">
        <f t="shared" si="55"/>
        <v>0</v>
      </c>
      <c r="AB253" s="169">
        <f t="shared" si="63"/>
        <v>0</v>
      </c>
      <c r="AC253" s="274">
        <f t="shared" si="56"/>
        <v>0</v>
      </c>
      <c r="AD253" s="169">
        <f t="shared" si="57"/>
        <v>0</v>
      </c>
      <c r="AE253" s="274">
        <f t="shared" si="58"/>
        <v>0</v>
      </c>
      <c r="AF253" s="169">
        <f t="shared" si="64"/>
        <v>0</v>
      </c>
      <c r="AG253" s="274">
        <f t="shared" si="59"/>
        <v>0</v>
      </c>
      <c r="AH253" s="169">
        <f t="shared" si="65"/>
        <v>0</v>
      </c>
      <c r="AI253" s="169"/>
      <c r="AJ253" s="169">
        <f t="shared" si="66"/>
        <v>0</v>
      </c>
      <c r="AK253" s="169">
        <f t="shared" si="67"/>
        <v>0</v>
      </c>
      <c r="AL253" s="169"/>
      <c r="AM253" s="169"/>
      <c r="AN253" s="169"/>
      <c r="AQ253" s="169"/>
      <c r="AW253" s="144">
        <f t="shared" si="68"/>
        <v>0</v>
      </c>
    </row>
    <row r="254" spans="1:49" ht="9.75" thickBot="1">
      <c r="A254" s="175"/>
      <c r="B254" s="176"/>
      <c r="C254" s="176"/>
      <c r="D254" s="170" t="str">
        <f t="shared" si="53"/>
        <v xml:space="preserve"> </v>
      </c>
      <c r="E254" s="178"/>
      <c r="F254" s="288">
        <v>0</v>
      </c>
      <c r="G254" s="178">
        <v>37</v>
      </c>
      <c r="H254" s="178">
        <v>37</v>
      </c>
      <c r="I254" s="178"/>
      <c r="J254" s="180"/>
      <c r="K254" s="178"/>
      <c r="L254" s="180"/>
      <c r="M254" s="180"/>
      <c r="N254" s="178"/>
      <c r="O254" s="178"/>
      <c r="P254" s="178"/>
      <c r="Q254" s="171">
        <f>AS254</f>
        <v>0</v>
      </c>
      <c r="R254" s="171">
        <f>AT254</f>
        <v>0</v>
      </c>
      <c r="S254" s="172">
        <f>AU254</f>
        <v>0</v>
      </c>
      <c r="U254" s="144">
        <f>IF(OR(C253=5,C254=5),0,1)</f>
        <v>1</v>
      </c>
      <c r="V254" s="144">
        <f t="shared" si="60"/>
        <v>0</v>
      </c>
      <c r="W254" s="144">
        <f t="shared" si="61"/>
        <v>0</v>
      </c>
      <c r="X254" s="144">
        <f t="shared" si="69"/>
        <v>0</v>
      </c>
      <c r="Y254" s="144">
        <f t="shared" si="62"/>
        <v>31.779800000000002</v>
      </c>
      <c r="Z254" s="169">
        <f t="shared" si="54"/>
        <v>0</v>
      </c>
      <c r="AA254" s="274">
        <f t="shared" si="55"/>
        <v>0</v>
      </c>
      <c r="AB254" s="169">
        <f t="shared" si="63"/>
        <v>0</v>
      </c>
      <c r="AC254" s="274">
        <f t="shared" si="56"/>
        <v>0</v>
      </c>
      <c r="AD254" s="169">
        <f t="shared" si="57"/>
        <v>0</v>
      </c>
      <c r="AE254" s="274">
        <f t="shared" si="58"/>
        <v>0</v>
      </c>
      <c r="AF254" s="169">
        <f t="shared" si="64"/>
        <v>0</v>
      </c>
      <c r="AG254" s="274">
        <f t="shared" si="59"/>
        <v>0</v>
      </c>
      <c r="AH254" s="169">
        <f t="shared" si="65"/>
        <v>0</v>
      </c>
      <c r="AI254" s="169"/>
      <c r="AJ254" s="169">
        <f t="shared" si="66"/>
        <v>0</v>
      </c>
      <c r="AK254" s="169">
        <f t="shared" si="67"/>
        <v>0</v>
      </c>
      <c r="AL254" s="169"/>
      <c r="AM254" s="169">
        <f>AK253*W253+AK254*W254</f>
        <v>0</v>
      </c>
      <c r="AN254" s="169">
        <f>(SUM(AD253:AG253)*W253+SUM(AD254:AG254)*W254)*12*VLOOKUP(C254,JNovergang,3,1)</f>
        <v>0</v>
      </c>
      <c r="AO254" s="169">
        <f>AM254-AN254</f>
        <v>0</v>
      </c>
      <c r="AP254" s="169">
        <f>M254*(100+X254)%</f>
        <v>0</v>
      </c>
      <c r="AQ254" s="274">
        <f>ROUND(M254*F254,2)</f>
        <v>0</v>
      </c>
      <c r="AS254" s="274">
        <f>ROUND((AP254+AQ254)+AM254*(N254/12),0)</f>
        <v>0</v>
      </c>
      <c r="AT254" s="274">
        <f>ROUND(AM254*(O254/12),0)</f>
        <v>0</v>
      </c>
      <c r="AU254" s="274">
        <f>ROUND(AM254*(P254/12)*U254,0)</f>
        <v>0</v>
      </c>
      <c r="AW254" s="144">
        <f t="shared" si="68"/>
        <v>0</v>
      </c>
    </row>
    <row r="255" spans="1:49">
      <c r="A255" s="173"/>
      <c r="B255" s="174"/>
      <c r="C255" s="174"/>
      <c r="D255" s="165" t="str">
        <f t="shared" si="53"/>
        <v xml:space="preserve"> </v>
      </c>
      <c r="E255" s="177"/>
      <c r="F255" s="287">
        <v>0</v>
      </c>
      <c r="G255" s="177">
        <v>37</v>
      </c>
      <c r="H255" s="177">
        <v>37</v>
      </c>
      <c r="I255" s="177"/>
      <c r="J255" s="179"/>
      <c r="K255" s="177"/>
      <c r="L255" s="179"/>
      <c r="M255" s="166"/>
      <c r="N255" s="166"/>
      <c r="O255" s="166"/>
      <c r="P255" s="166"/>
      <c r="Q255" s="167"/>
      <c r="R255" s="167"/>
      <c r="S255" s="168"/>
      <c r="V255" s="144">
        <f t="shared" si="60"/>
        <v>0</v>
      </c>
      <c r="W255" s="144">
        <f t="shared" si="61"/>
        <v>0</v>
      </c>
      <c r="X255" s="144">
        <f t="shared" si="69"/>
        <v>0</v>
      </c>
      <c r="Y255" s="144">
        <f t="shared" si="62"/>
        <v>31.779800000000002</v>
      </c>
      <c r="Z255" s="169">
        <f t="shared" si="54"/>
        <v>0</v>
      </c>
      <c r="AA255" s="274">
        <f t="shared" si="55"/>
        <v>0</v>
      </c>
      <c r="AB255" s="169">
        <f t="shared" si="63"/>
        <v>0</v>
      </c>
      <c r="AC255" s="274">
        <f t="shared" si="56"/>
        <v>0</v>
      </c>
      <c r="AD255" s="169">
        <f t="shared" si="57"/>
        <v>0</v>
      </c>
      <c r="AE255" s="274">
        <f t="shared" si="58"/>
        <v>0</v>
      </c>
      <c r="AF255" s="169">
        <f t="shared" si="64"/>
        <v>0</v>
      </c>
      <c r="AG255" s="274">
        <f t="shared" si="59"/>
        <v>0</v>
      </c>
      <c r="AH255" s="169">
        <f t="shared" si="65"/>
        <v>0</v>
      </c>
      <c r="AI255" s="169"/>
      <c r="AJ255" s="169">
        <f t="shared" si="66"/>
        <v>0</v>
      </c>
      <c r="AK255" s="169">
        <f t="shared" si="67"/>
        <v>0</v>
      </c>
      <c r="AL255" s="169"/>
      <c r="AM255" s="169"/>
      <c r="AN255" s="169"/>
      <c r="AQ255" s="169"/>
      <c r="AW255" s="144">
        <f t="shared" si="68"/>
        <v>0</v>
      </c>
    </row>
    <row r="256" spans="1:49" ht="9.75" thickBot="1">
      <c r="A256" s="175"/>
      <c r="B256" s="176"/>
      <c r="C256" s="176"/>
      <c r="D256" s="170" t="str">
        <f t="shared" si="53"/>
        <v xml:space="preserve"> </v>
      </c>
      <c r="E256" s="178"/>
      <c r="F256" s="288">
        <v>0</v>
      </c>
      <c r="G256" s="178">
        <v>37</v>
      </c>
      <c r="H256" s="178">
        <v>37</v>
      </c>
      <c r="I256" s="178"/>
      <c r="J256" s="180"/>
      <c r="K256" s="178"/>
      <c r="L256" s="180"/>
      <c r="M256" s="180"/>
      <c r="N256" s="178"/>
      <c r="O256" s="178"/>
      <c r="P256" s="178"/>
      <c r="Q256" s="171">
        <f>AS256</f>
        <v>0</v>
      </c>
      <c r="R256" s="171">
        <f>AT256</f>
        <v>0</v>
      </c>
      <c r="S256" s="172">
        <f>AU256</f>
        <v>0</v>
      </c>
      <c r="U256" s="144">
        <f>IF(OR(C255=5,C256=5),0,1)</f>
        <v>1</v>
      </c>
      <c r="V256" s="144">
        <f t="shared" si="60"/>
        <v>0</v>
      </c>
      <c r="W256" s="144">
        <f t="shared" si="61"/>
        <v>0</v>
      </c>
      <c r="X256" s="144">
        <f t="shared" si="69"/>
        <v>0</v>
      </c>
      <c r="Y256" s="144">
        <f t="shared" si="62"/>
        <v>31.779800000000002</v>
      </c>
      <c r="Z256" s="169">
        <f t="shared" si="54"/>
        <v>0</v>
      </c>
      <c r="AA256" s="274">
        <f t="shared" si="55"/>
        <v>0</v>
      </c>
      <c r="AB256" s="169">
        <f t="shared" si="63"/>
        <v>0</v>
      </c>
      <c r="AC256" s="274">
        <f t="shared" si="56"/>
        <v>0</v>
      </c>
      <c r="AD256" s="169">
        <f t="shared" si="57"/>
        <v>0</v>
      </c>
      <c r="AE256" s="274">
        <f t="shared" si="58"/>
        <v>0</v>
      </c>
      <c r="AF256" s="169">
        <f t="shared" si="64"/>
        <v>0</v>
      </c>
      <c r="AG256" s="274">
        <f t="shared" si="59"/>
        <v>0</v>
      </c>
      <c r="AH256" s="169">
        <f t="shared" si="65"/>
        <v>0</v>
      </c>
      <c r="AI256" s="169"/>
      <c r="AJ256" s="169">
        <f t="shared" si="66"/>
        <v>0</v>
      </c>
      <c r="AK256" s="169">
        <f t="shared" si="67"/>
        <v>0</v>
      </c>
      <c r="AL256" s="169"/>
      <c r="AM256" s="169">
        <f>AK255*W255+AK256*W256</f>
        <v>0</v>
      </c>
      <c r="AN256" s="169">
        <f>(SUM(AD255:AG255)*W255+SUM(AD256:AG256)*W256)*12*VLOOKUP(C256,JNovergang,3,1)</f>
        <v>0</v>
      </c>
      <c r="AO256" s="169">
        <f>AM256-AN256</f>
        <v>0</v>
      </c>
      <c r="AP256" s="169">
        <f>M256*(100+X256)%</f>
        <v>0</v>
      </c>
      <c r="AQ256" s="274">
        <f>ROUND(M256*F256,2)</f>
        <v>0</v>
      </c>
      <c r="AS256" s="274">
        <f>ROUND((AP256+AQ256)+AM256*(N256/12),0)</f>
        <v>0</v>
      </c>
      <c r="AT256" s="274">
        <f>ROUND(AM256*(O256/12),0)</f>
        <v>0</v>
      </c>
      <c r="AU256" s="274">
        <f>ROUND(AM256*(P256/12)*U256,0)</f>
        <v>0</v>
      </c>
      <c r="AW256" s="144">
        <f t="shared" si="68"/>
        <v>0</v>
      </c>
    </row>
    <row r="257" spans="1:49">
      <c r="A257" s="173"/>
      <c r="B257" s="174"/>
      <c r="C257" s="174"/>
      <c r="D257" s="165" t="str">
        <f t="shared" si="53"/>
        <v xml:space="preserve"> </v>
      </c>
      <c r="E257" s="177"/>
      <c r="F257" s="287">
        <v>0</v>
      </c>
      <c r="G257" s="177">
        <v>37</v>
      </c>
      <c r="H257" s="177">
        <v>37</v>
      </c>
      <c r="I257" s="177"/>
      <c r="J257" s="179"/>
      <c r="K257" s="177"/>
      <c r="L257" s="179"/>
      <c r="M257" s="166"/>
      <c r="N257" s="166"/>
      <c r="O257" s="166"/>
      <c r="P257" s="166"/>
      <c r="Q257" s="167"/>
      <c r="R257" s="167"/>
      <c r="S257" s="168"/>
      <c r="V257" s="144">
        <f t="shared" si="60"/>
        <v>0</v>
      </c>
      <c r="W257" s="144">
        <f t="shared" si="61"/>
        <v>0</v>
      </c>
      <c r="X257" s="144">
        <f t="shared" si="69"/>
        <v>0</v>
      </c>
      <c r="Y257" s="144">
        <f t="shared" si="62"/>
        <v>31.779800000000002</v>
      </c>
      <c r="Z257" s="169">
        <f t="shared" si="54"/>
        <v>0</v>
      </c>
      <c r="AA257" s="274">
        <f t="shared" si="55"/>
        <v>0</v>
      </c>
      <c r="AB257" s="169">
        <f t="shared" si="63"/>
        <v>0</v>
      </c>
      <c r="AC257" s="274">
        <f t="shared" si="56"/>
        <v>0</v>
      </c>
      <c r="AD257" s="169">
        <f t="shared" si="57"/>
        <v>0</v>
      </c>
      <c r="AE257" s="274">
        <f t="shared" si="58"/>
        <v>0</v>
      </c>
      <c r="AF257" s="169">
        <f t="shared" si="64"/>
        <v>0</v>
      </c>
      <c r="AG257" s="274">
        <f t="shared" si="59"/>
        <v>0</v>
      </c>
      <c r="AH257" s="169">
        <f t="shared" si="65"/>
        <v>0</v>
      </c>
      <c r="AI257" s="169"/>
      <c r="AJ257" s="169">
        <f t="shared" si="66"/>
        <v>0</v>
      </c>
      <c r="AK257" s="169">
        <f t="shared" si="67"/>
        <v>0</v>
      </c>
      <c r="AL257" s="169"/>
      <c r="AM257" s="169"/>
      <c r="AN257" s="169"/>
      <c r="AQ257" s="169"/>
      <c r="AW257" s="144">
        <f t="shared" si="68"/>
        <v>0</v>
      </c>
    </row>
    <row r="258" spans="1:49" ht="9.75" thickBot="1">
      <c r="A258" s="175"/>
      <c r="B258" s="176"/>
      <c r="C258" s="176"/>
      <c r="D258" s="170" t="str">
        <f>VLOOKUP(C258,Tabelændringskode,2,1)</f>
        <v xml:space="preserve"> </v>
      </c>
      <c r="E258" s="178"/>
      <c r="F258" s="288">
        <v>0</v>
      </c>
      <c r="G258" s="178">
        <v>37</v>
      </c>
      <c r="H258" s="178">
        <v>37</v>
      </c>
      <c r="I258" s="178"/>
      <c r="J258" s="180"/>
      <c r="K258" s="178"/>
      <c r="L258" s="180"/>
      <c r="M258" s="180"/>
      <c r="N258" s="178"/>
      <c r="O258" s="178"/>
      <c r="P258" s="178"/>
      <c r="Q258" s="171">
        <f>AS258</f>
        <v>0</v>
      </c>
      <c r="R258" s="171">
        <f>AT258</f>
        <v>0</v>
      </c>
      <c r="S258" s="172">
        <f>AU258</f>
        <v>0</v>
      </c>
      <c r="U258" s="144">
        <f>IF(OR(C257=5,C258=5),0,1)</f>
        <v>1</v>
      </c>
      <c r="V258" s="144">
        <f t="shared" si="60"/>
        <v>0</v>
      </c>
      <c r="W258" s="144">
        <f t="shared" si="61"/>
        <v>0</v>
      </c>
      <c r="X258" s="144">
        <f t="shared" si="69"/>
        <v>0</v>
      </c>
      <c r="Y258" s="144">
        <f t="shared" si="62"/>
        <v>31.779800000000002</v>
      </c>
      <c r="Z258" s="169">
        <f t="shared" si="54"/>
        <v>0</v>
      </c>
      <c r="AA258" s="274">
        <f t="shared" si="55"/>
        <v>0</v>
      </c>
      <c r="AB258" s="169">
        <f t="shared" si="63"/>
        <v>0</v>
      </c>
      <c r="AC258" s="274">
        <f t="shared" si="56"/>
        <v>0</v>
      </c>
      <c r="AD258" s="169">
        <f t="shared" si="57"/>
        <v>0</v>
      </c>
      <c r="AE258" s="274">
        <f t="shared" si="58"/>
        <v>0</v>
      </c>
      <c r="AF258" s="169">
        <f t="shared" si="64"/>
        <v>0</v>
      </c>
      <c r="AG258" s="274">
        <f t="shared" si="59"/>
        <v>0</v>
      </c>
      <c r="AH258" s="169">
        <f t="shared" si="65"/>
        <v>0</v>
      </c>
      <c r="AI258" s="169"/>
      <c r="AJ258" s="169">
        <f t="shared" si="66"/>
        <v>0</v>
      </c>
      <c r="AK258" s="169">
        <f t="shared" si="67"/>
        <v>0</v>
      </c>
      <c r="AL258" s="169"/>
      <c r="AM258" s="169">
        <f>AK257*W257+AK258*W258</f>
        <v>0</v>
      </c>
      <c r="AN258" s="169">
        <f>(SUM(AD257:AG257)*W257+SUM(AD258:AG258)*W258)*12*VLOOKUP(C258,JNovergang,3,1)</f>
        <v>0</v>
      </c>
      <c r="AO258" s="169">
        <f>AM258-AN258</f>
        <v>0</v>
      </c>
      <c r="AP258" s="169">
        <f>M258*(100+X258)%</f>
        <v>0</v>
      </c>
      <c r="AQ258" s="274">
        <f>ROUND(M258*F258,2)</f>
        <v>0</v>
      </c>
      <c r="AS258" s="274">
        <f>ROUND((AP258+AQ258)+AM258*(N258/12),0)</f>
        <v>0</v>
      </c>
      <c r="AT258" s="274">
        <f>ROUND(AM258*(O258/12),0)</f>
        <v>0</v>
      </c>
      <c r="AU258" s="274">
        <f>ROUND(AM258*(P258/12)*U258,0)</f>
        <v>0</v>
      </c>
      <c r="AW258" s="144">
        <f t="shared" si="68"/>
        <v>0</v>
      </c>
    </row>
    <row r="259" spans="1:49">
      <c r="A259" s="173"/>
      <c r="B259" s="174"/>
      <c r="C259" s="174"/>
      <c r="D259" s="165" t="str">
        <f t="shared" si="53"/>
        <v xml:space="preserve"> </v>
      </c>
      <c r="E259" s="177"/>
      <c r="F259" s="287">
        <v>0</v>
      </c>
      <c r="G259" s="177">
        <v>37</v>
      </c>
      <c r="H259" s="177">
        <v>37</v>
      </c>
      <c r="I259" s="177"/>
      <c r="J259" s="179"/>
      <c r="K259" s="177"/>
      <c r="L259" s="179"/>
      <c r="M259" s="166"/>
      <c r="N259" s="166"/>
      <c r="O259" s="166"/>
      <c r="P259" s="166"/>
      <c r="Q259" s="167"/>
      <c r="R259" s="167"/>
      <c r="S259" s="168"/>
      <c r="V259" s="144">
        <f t="shared" si="60"/>
        <v>0</v>
      </c>
      <c r="W259" s="144">
        <f t="shared" si="61"/>
        <v>0</v>
      </c>
      <c r="X259" s="144">
        <f t="shared" si="69"/>
        <v>0</v>
      </c>
      <c r="Y259" s="144">
        <f t="shared" si="62"/>
        <v>31.779800000000002</v>
      </c>
      <c r="Z259" s="169">
        <f t="shared" si="54"/>
        <v>0</v>
      </c>
      <c r="AA259" s="274">
        <f t="shared" si="55"/>
        <v>0</v>
      </c>
      <c r="AB259" s="169">
        <f t="shared" si="63"/>
        <v>0</v>
      </c>
      <c r="AC259" s="274">
        <f t="shared" si="56"/>
        <v>0</v>
      </c>
      <c r="AD259" s="169">
        <f t="shared" si="57"/>
        <v>0</v>
      </c>
      <c r="AE259" s="274">
        <f t="shared" si="58"/>
        <v>0</v>
      </c>
      <c r="AF259" s="169">
        <f t="shared" si="64"/>
        <v>0</v>
      </c>
      <c r="AG259" s="274">
        <f t="shared" si="59"/>
        <v>0</v>
      </c>
      <c r="AH259" s="169">
        <f t="shared" si="65"/>
        <v>0</v>
      </c>
      <c r="AI259" s="169"/>
      <c r="AJ259" s="169">
        <f t="shared" si="66"/>
        <v>0</v>
      </c>
      <c r="AK259" s="169">
        <f t="shared" si="67"/>
        <v>0</v>
      </c>
      <c r="AL259" s="169"/>
      <c r="AM259" s="169"/>
      <c r="AN259" s="169"/>
      <c r="AQ259" s="169"/>
      <c r="AW259" s="144">
        <f t="shared" si="68"/>
        <v>0</v>
      </c>
    </row>
    <row r="260" spans="1:49" ht="9.75" thickBot="1">
      <c r="A260" s="175"/>
      <c r="B260" s="176"/>
      <c r="C260" s="176"/>
      <c r="D260" s="170" t="str">
        <f>VLOOKUP(C260,Tabelændringskode,2,1)</f>
        <v xml:space="preserve"> </v>
      </c>
      <c r="E260" s="178"/>
      <c r="F260" s="288">
        <v>0</v>
      </c>
      <c r="G260" s="178">
        <v>37</v>
      </c>
      <c r="H260" s="178">
        <v>37</v>
      </c>
      <c r="I260" s="178"/>
      <c r="J260" s="180"/>
      <c r="K260" s="178"/>
      <c r="L260" s="180"/>
      <c r="M260" s="180"/>
      <c r="N260" s="178"/>
      <c r="O260" s="178"/>
      <c r="P260" s="178"/>
      <c r="Q260" s="171">
        <f>AS260</f>
        <v>0</v>
      </c>
      <c r="R260" s="171">
        <f>AT260</f>
        <v>0</v>
      </c>
      <c r="S260" s="172">
        <f>AU260</f>
        <v>0</v>
      </c>
      <c r="U260" s="144">
        <f>IF(OR(C259=5,C260=5),0,1)</f>
        <v>1</v>
      </c>
      <c r="V260" s="144">
        <f t="shared" si="60"/>
        <v>0</v>
      </c>
      <c r="W260" s="144">
        <f t="shared" si="61"/>
        <v>0</v>
      </c>
      <c r="X260" s="144">
        <f t="shared" si="69"/>
        <v>0</v>
      </c>
      <c r="Y260" s="144">
        <f t="shared" si="62"/>
        <v>31.779800000000002</v>
      </c>
      <c r="Z260" s="169">
        <f t="shared" si="54"/>
        <v>0</v>
      </c>
      <c r="AA260" s="274">
        <f t="shared" si="55"/>
        <v>0</v>
      </c>
      <c r="AB260" s="169">
        <f t="shared" si="63"/>
        <v>0</v>
      </c>
      <c r="AC260" s="274">
        <f t="shared" si="56"/>
        <v>0</v>
      </c>
      <c r="AD260" s="169">
        <f t="shared" si="57"/>
        <v>0</v>
      </c>
      <c r="AE260" s="274">
        <f t="shared" si="58"/>
        <v>0</v>
      </c>
      <c r="AF260" s="169">
        <f t="shared" si="64"/>
        <v>0</v>
      </c>
      <c r="AG260" s="274">
        <f t="shared" si="59"/>
        <v>0</v>
      </c>
      <c r="AH260" s="169">
        <f t="shared" si="65"/>
        <v>0</v>
      </c>
      <c r="AI260" s="169"/>
      <c r="AJ260" s="169">
        <f t="shared" si="66"/>
        <v>0</v>
      </c>
      <c r="AK260" s="169">
        <f t="shared" si="67"/>
        <v>0</v>
      </c>
      <c r="AL260" s="169"/>
      <c r="AM260" s="169">
        <f>AK259*W259+AK260*W260</f>
        <v>0</v>
      </c>
      <c r="AN260" s="169">
        <f>(SUM(AD259:AG259)*W259+SUM(AD260:AG260)*W260)*12*VLOOKUP(C260,JNovergang,3,1)</f>
        <v>0</v>
      </c>
      <c r="AO260" s="169">
        <f>AM260-AN260</f>
        <v>0</v>
      </c>
      <c r="AP260" s="169">
        <f>M260*(100+X260)%</f>
        <v>0</v>
      </c>
      <c r="AQ260" s="274">
        <f>ROUND(M260*F260,2)</f>
        <v>0</v>
      </c>
      <c r="AS260" s="274">
        <f>ROUND((AP260+AQ260)+AM260*(N260/12),0)</f>
        <v>0</v>
      </c>
      <c r="AT260" s="274">
        <f>ROUND(AM260*(O260/12),0)</f>
        <v>0</v>
      </c>
      <c r="AU260" s="274">
        <f>ROUND(AM260*(P260/12)*U260,0)</f>
        <v>0</v>
      </c>
      <c r="AW260" s="144">
        <f t="shared" si="68"/>
        <v>0</v>
      </c>
    </row>
    <row r="261" spans="1:49">
      <c r="A261" s="173"/>
      <c r="B261" s="174"/>
      <c r="C261" s="174"/>
      <c r="D261" s="165" t="str">
        <f t="shared" ref="D261:D281" si="70">VLOOKUP(C261,Tabelændringskode,2,1)</f>
        <v xml:space="preserve"> </v>
      </c>
      <c r="E261" s="177"/>
      <c r="F261" s="287">
        <v>0</v>
      </c>
      <c r="G261" s="177">
        <v>37</v>
      </c>
      <c r="H261" s="177">
        <v>37</v>
      </c>
      <c r="I261" s="177"/>
      <c r="J261" s="179"/>
      <c r="K261" s="177"/>
      <c r="L261" s="179"/>
      <c r="M261" s="166"/>
      <c r="N261" s="166"/>
      <c r="O261" s="166"/>
      <c r="P261" s="166"/>
      <c r="Q261" s="167"/>
      <c r="R261" s="167"/>
      <c r="S261" s="168"/>
      <c r="V261" s="144">
        <f t="shared" si="60"/>
        <v>0</v>
      </c>
      <c r="W261" s="144">
        <f t="shared" si="61"/>
        <v>0</v>
      </c>
      <c r="X261" s="144">
        <f t="shared" si="69"/>
        <v>0</v>
      </c>
      <c r="Y261" s="144">
        <f t="shared" si="62"/>
        <v>31.779800000000002</v>
      </c>
      <c r="Z261" s="169">
        <f t="shared" si="54"/>
        <v>0</v>
      </c>
      <c r="AA261" s="274">
        <f t="shared" si="55"/>
        <v>0</v>
      </c>
      <c r="AB261" s="169">
        <f t="shared" si="63"/>
        <v>0</v>
      </c>
      <c r="AC261" s="274">
        <f t="shared" si="56"/>
        <v>0</v>
      </c>
      <c r="AD261" s="169">
        <f t="shared" si="57"/>
        <v>0</v>
      </c>
      <c r="AE261" s="274">
        <f t="shared" si="58"/>
        <v>0</v>
      </c>
      <c r="AF261" s="169">
        <f t="shared" si="64"/>
        <v>0</v>
      </c>
      <c r="AG261" s="274">
        <f t="shared" si="59"/>
        <v>0</v>
      </c>
      <c r="AH261" s="169">
        <f t="shared" si="65"/>
        <v>0</v>
      </c>
      <c r="AI261" s="169"/>
      <c r="AJ261" s="169">
        <f t="shared" si="66"/>
        <v>0</v>
      </c>
      <c r="AK261" s="169">
        <f t="shared" si="67"/>
        <v>0</v>
      </c>
      <c r="AL261" s="169"/>
      <c r="AM261" s="169"/>
      <c r="AN261" s="169"/>
      <c r="AQ261" s="169"/>
      <c r="AW261" s="144">
        <f t="shared" si="68"/>
        <v>0</v>
      </c>
    </row>
    <row r="262" spans="1:49" ht="9.75" thickBot="1">
      <c r="A262" s="175"/>
      <c r="B262" s="176"/>
      <c r="C262" s="176"/>
      <c r="D262" s="170" t="str">
        <f>VLOOKUP(C262,Tabelændringskode,2,1)</f>
        <v xml:space="preserve"> </v>
      </c>
      <c r="E262" s="178"/>
      <c r="F262" s="288">
        <v>0</v>
      </c>
      <c r="G262" s="178">
        <v>37</v>
      </c>
      <c r="H262" s="178">
        <v>37</v>
      </c>
      <c r="I262" s="178"/>
      <c r="J262" s="180"/>
      <c r="K262" s="178"/>
      <c r="L262" s="180"/>
      <c r="M262" s="180"/>
      <c r="N262" s="178"/>
      <c r="O262" s="178"/>
      <c r="P262" s="178"/>
      <c r="Q262" s="171">
        <f>AS262</f>
        <v>0</v>
      </c>
      <c r="R262" s="171">
        <f>AT262</f>
        <v>0</v>
      </c>
      <c r="S262" s="172">
        <f>AU262</f>
        <v>0</v>
      </c>
      <c r="U262" s="144">
        <f>IF(OR(C261=5,C262=5),0,1)</f>
        <v>1</v>
      </c>
      <c r="V262" s="144">
        <f t="shared" si="60"/>
        <v>0</v>
      </c>
      <c r="W262" s="144">
        <f t="shared" si="61"/>
        <v>0</v>
      </c>
      <c r="X262" s="144">
        <f t="shared" si="69"/>
        <v>0</v>
      </c>
      <c r="Y262" s="144">
        <f t="shared" si="62"/>
        <v>31.779800000000002</v>
      </c>
      <c r="Z262" s="169">
        <f t="shared" si="54"/>
        <v>0</v>
      </c>
      <c r="AA262" s="274">
        <f t="shared" si="55"/>
        <v>0</v>
      </c>
      <c r="AB262" s="169">
        <f t="shared" si="63"/>
        <v>0</v>
      </c>
      <c r="AC262" s="274">
        <f t="shared" si="56"/>
        <v>0</v>
      </c>
      <c r="AD262" s="169">
        <f t="shared" si="57"/>
        <v>0</v>
      </c>
      <c r="AE262" s="274">
        <f t="shared" si="58"/>
        <v>0</v>
      </c>
      <c r="AF262" s="169">
        <f t="shared" si="64"/>
        <v>0</v>
      </c>
      <c r="AG262" s="274">
        <f t="shared" si="59"/>
        <v>0</v>
      </c>
      <c r="AH262" s="169">
        <f t="shared" si="65"/>
        <v>0</v>
      </c>
      <c r="AI262" s="169"/>
      <c r="AJ262" s="169">
        <f t="shared" si="66"/>
        <v>0</v>
      </c>
      <c r="AK262" s="169">
        <f t="shared" si="67"/>
        <v>0</v>
      </c>
      <c r="AL262" s="169"/>
      <c r="AM262" s="169">
        <f>AK261*W261+AK262*W262</f>
        <v>0</v>
      </c>
      <c r="AN262" s="169">
        <f>(SUM(AD261:AG261)*W261+SUM(AD262:AG262)*W262)*12*VLOOKUP(C262,JNovergang,3,1)</f>
        <v>0</v>
      </c>
      <c r="AO262" s="169">
        <f>AM262-AN262</f>
        <v>0</v>
      </c>
      <c r="AP262" s="169">
        <f>M262*(100+X262)%</f>
        <v>0</v>
      </c>
      <c r="AQ262" s="274">
        <f>ROUND(M262*F262,2)</f>
        <v>0</v>
      </c>
      <c r="AS262" s="274">
        <f>ROUND((AP262+AQ262)+AM262*(N262/12),0)</f>
        <v>0</v>
      </c>
      <c r="AT262" s="274">
        <f>ROUND(AM262*(O262/12),0)</f>
        <v>0</v>
      </c>
      <c r="AU262" s="274">
        <f>ROUND(AM262*(P262/12)*U262,0)</f>
        <v>0</v>
      </c>
      <c r="AW262" s="144">
        <f t="shared" si="68"/>
        <v>0</v>
      </c>
    </row>
    <row r="263" spans="1:49">
      <c r="A263" s="173"/>
      <c r="B263" s="174"/>
      <c r="C263" s="174"/>
      <c r="D263" s="165" t="str">
        <f t="shared" si="70"/>
        <v xml:space="preserve"> </v>
      </c>
      <c r="E263" s="177"/>
      <c r="F263" s="287">
        <v>0</v>
      </c>
      <c r="G263" s="177">
        <v>37</v>
      </c>
      <c r="H263" s="177">
        <v>37</v>
      </c>
      <c r="I263" s="177"/>
      <c r="J263" s="179"/>
      <c r="K263" s="177"/>
      <c r="L263" s="179"/>
      <c r="M263" s="166"/>
      <c r="N263" s="166"/>
      <c r="O263" s="166"/>
      <c r="P263" s="166"/>
      <c r="Q263" s="167"/>
      <c r="R263" s="167"/>
      <c r="S263" s="168"/>
      <c r="V263" s="144">
        <f t="shared" si="60"/>
        <v>0</v>
      </c>
      <c r="W263" s="144">
        <f t="shared" si="61"/>
        <v>0</v>
      </c>
      <c r="X263" s="144">
        <f t="shared" si="69"/>
        <v>0</v>
      </c>
      <c r="Y263" s="144">
        <f t="shared" si="62"/>
        <v>31.779800000000002</v>
      </c>
      <c r="Z263" s="169">
        <f t="shared" si="54"/>
        <v>0</v>
      </c>
      <c r="AA263" s="274">
        <f t="shared" si="55"/>
        <v>0</v>
      </c>
      <c r="AB263" s="169">
        <f t="shared" si="63"/>
        <v>0</v>
      </c>
      <c r="AC263" s="274">
        <f t="shared" si="56"/>
        <v>0</v>
      </c>
      <c r="AD263" s="169">
        <f t="shared" si="57"/>
        <v>0</v>
      </c>
      <c r="AE263" s="274">
        <f t="shared" si="58"/>
        <v>0</v>
      </c>
      <c r="AF263" s="169">
        <f t="shared" si="64"/>
        <v>0</v>
      </c>
      <c r="AG263" s="274">
        <f t="shared" si="59"/>
        <v>0</v>
      </c>
      <c r="AH263" s="169">
        <f t="shared" si="65"/>
        <v>0</v>
      </c>
      <c r="AI263" s="169"/>
      <c r="AJ263" s="169">
        <f t="shared" si="66"/>
        <v>0</v>
      </c>
      <c r="AK263" s="169">
        <f t="shared" si="67"/>
        <v>0</v>
      </c>
      <c r="AL263" s="169"/>
      <c r="AM263" s="169"/>
      <c r="AN263" s="169"/>
      <c r="AQ263" s="169"/>
      <c r="AW263" s="144">
        <f t="shared" si="68"/>
        <v>0</v>
      </c>
    </row>
    <row r="264" spans="1:49" ht="9.75" thickBot="1">
      <c r="A264" s="175"/>
      <c r="B264" s="176"/>
      <c r="C264" s="176"/>
      <c r="D264" s="170" t="str">
        <f>VLOOKUP(C264,Tabelændringskode,2,1)</f>
        <v xml:space="preserve"> </v>
      </c>
      <c r="E264" s="178"/>
      <c r="F264" s="288">
        <v>0</v>
      </c>
      <c r="G264" s="178">
        <v>37</v>
      </c>
      <c r="H264" s="178">
        <v>37</v>
      </c>
      <c r="I264" s="178"/>
      <c r="J264" s="180"/>
      <c r="K264" s="178"/>
      <c r="L264" s="180"/>
      <c r="M264" s="180"/>
      <c r="N264" s="178"/>
      <c r="O264" s="178"/>
      <c r="P264" s="178"/>
      <c r="Q264" s="171">
        <f>AS264</f>
        <v>0</v>
      </c>
      <c r="R264" s="171">
        <f>AT264</f>
        <v>0</v>
      </c>
      <c r="S264" s="172">
        <f>AU264</f>
        <v>0</v>
      </c>
      <c r="U264" s="144">
        <f>IF(OR(C263=5,C264=5),0,1)</f>
        <v>1</v>
      </c>
      <c r="V264" s="144">
        <f t="shared" si="60"/>
        <v>0</v>
      </c>
      <c r="W264" s="144">
        <f t="shared" si="61"/>
        <v>0</v>
      </c>
      <c r="X264" s="144">
        <f t="shared" si="69"/>
        <v>0</v>
      </c>
      <c r="Y264" s="144">
        <f t="shared" si="62"/>
        <v>31.779800000000002</v>
      </c>
      <c r="Z264" s="169">
        <f t="shared" si="54"/>
        <v>0</v>
      </c>
      <c r="AA264" s="274">
        <f t="shared" si="55"/>
        <v>0</v>
      </c>
      <c r="AB264" s="169">
        <f t="shared" si="63"/>
        <v>0</v>
      </c>
      <c r="AC264" s="274">
        <f t="shared" si="56"/>
        <v>0</v>
      </c>
      <c r="AD264" s="169">
        <f t="shared" si="57"/>
        <v>0</v>
      </c>
      <c r="AE264" s="274">
        <f t="shared" si="58"/>
        <v>0</v>
      </c>
      <c r="AF264" s="169">
        <f t="shared" si="64"/>
        <v>0</v>
      </c>
      <c r="AG264" s="274">
        <f t="shared" si="59"/>
        <v>0</v>
      </c>
      <c r="AH264" s="169">
        <f t="shared" si="65"/>
        <v>0</v>
      </c>
      <c r="AI264" s="169"/>
      <c r="AJ264" s="169">
        <f t="shared" si="66"/>
        <v>0</v>
      </c>
      <c r="AK264" s="169">
        <f t="shared" si="67"/>
        <v>0</v>
      </c>
      <c r="AL264" s="169"/>
      <c r="AM264" s="169">
        <f>AK263*W263+AK264*W264</f>
        <v>0</v>
      </c>
      <c r="AN264" s="169">
        <f>(SUM(AD263:AG263)*W263+SUM(AD264:AG264)*W264)*12*VLOOKUP(C264,JNovergang,3,1)</f>
        <v>0</v>
      </c>
      <c r="AO264" s="169">
        <f>AM264-AN264</f>
        <v>0</v>
      </c>
      <c r="AP264" s="169">
        <f>M264*(100+X264)%</f>
        <v>0</v>
      </c>
      <c r="AQ264" s="274">
        <f>ROUND(M264*F264,2)</f>
        <v>0</v>
      </c>
      <c r="AS264" s="274">
        <f>ROUND((AP264+AQ264)+AM264*(N264/12),0)</f>
        <v>0</v>
      </c>
      <c r="AT264" s="274">
        <f>ROUND(AM264*(O264/12),0)</f>
        <v>0</v>
      </c>
      <c r="AU264" s="274">
        <f>ROUND(AM264*(P264/12)*U264,0)</f>
        <v>0</v>
      </c>
      <c r="AW264" s="144">
        <f t="shared" si="68"/>
        <v>0</v>
      </c>
    </row>
    <row r="265" spans="1:49">
      <c r="A265" s="173"/>
      <c r="B265" s="174"/>
      <c r="C265" s="174"/>
      <c r="D265" s="165" t="str">
        <f t="shared" si="70"/>
        <v xml:space="preserve"> </v>
      </c>
      <c r="E265" s="177"/>
      <c r="F265" s="287">
        <v>0</v>
      </c>
      <c r="G265" s="177">
        <v>37</v>
      </c>
      <c r="H265" s="177">
        <v>37</v>
      </c>
      <c r="I265" s="177"/>
      <c r="J265" s="179"/>
      <c r="K265" s="177"/>
      <c r="L265" s="179"/>
      <c r="M265" s="166"/>
      <c r="N265" s="166"/>
      <c r="O265" s="166"/>
      <c r="P265" s="166"/>
      <c r="Q265" s="167"/>
      <c r="R265" s="167"/>
      <c r="S265" s="168"/>
      <c r="V265" s="144">
        <f t="shared" si="60"/>
        <v>0</v>
      </c>
      <c r="W265" s="144">
        <f t="shared" si="61"/>
        <v>0</v>
      </c>
      <c r="X265" s="144">
        <f t="shared" si="69"/>
        <v>0</v>
      </c>
      <c r="Y265" s="144">
        <f t="shared" si="62"/>
        <v>31.779800000000002</v>
      </c>
      <c r="Z265" s="169">
        <f t="shared" si="54"/>
        <v>0</v>
      </c>
      <c r="AA265" s="274">
        <f t="shared" si="55"/>
        <v>0</v>
      </c>
      <c r="AB265" s="169">
        <f t="shared" si="63"/>
        <v>0</v>
      </c>
      <c r="AC265" s="274">
        <f t="shared" si="56"/>
        <v>0</v>
      </c>
      <c r="AD265" s="169">
        <f t="shared" si="57"/>
        <v>0</v>
      </c>
      <c r="AE265" s="274">
        <f t="shared" si="58"/>
        <v>0</v>
      </c>
      <c r="AF265" s="169">
        <f t="shared" si="64"/>
        <v>0</v>
      </c>
      <c r="AG265" s="274">
        <f t="shared" si="59"/>
        <v>0</v>
      </c>
      <c r="AH265" s="169">
        <f t="shared" si="65"/>
        <v>0</v>
      </c>
      <c r="AI265" s="169"/>
      <c r="AJ265" s="169">
        <f t="shared" si="66"/>
        <v>0</v>
      </c>
      <c r="AK265" s="169">
        <f t="shared" si="67"/>
        <v>0</v>
      </c>
      <c r="AL265" s="169"/>
      <c r="AM265" s="169"/>
      <c r="AN265" s="169"/>
      <c r="AQ265" s="169"/>
      <c r="AW265" s="144">
        <f t="shared" si="68"/>
        <v>0</v>
      </c>
    </row>
    <row r="266" spans="1:49" ht="9.75" thickBot="1">
      <c r="A266" s="175"/>
      <c r="B266" s="176"/>
      <c r="C266" s="176"/>
      <c r="D266" s="170" t="str">
        <f>VLOOKUP(C266,Tabelændringskode,2,1)</f>
        <v xml:space="preserve"> </v>
      </c>
      <c r="E266" s="178"/>
      <c r="F266" s="288">
        <v>0</v>
      </c>
      <c r="G266" s="178">
        <v>37</v>
      </c>
      <c r="H266" s="178">
        <v>37</v>
      </c>
      <c r="I266" s="178"/>
      <c r="J266" s="180"/>
      <c r="K266" s="178"/>
      <c r="L266" s="180"/>
      <c r="M266" s="180"/>
      <c r="N266" s="178"/>
      <c r="O266" s="178"/>
      <c r="P266" s="178"/>
      <c r="Q266" s="171">
        <f>AS266</f>
        <v>0</v>
      </c>
      <c r="R266" s="171">
        <f>AT266</f>
        <v>0</v>
      </c>
      <c r="S266" s="172">
        <f>AU266</f>
        <v>0</v>
      </c>
      <c r="U266" s="144">
        <f>IF(OR(C265=5,C266=5),0,1)</f>
        <v>1</v>
      </c>
      <c r="V266" s="144">
        <f t="shared" si="60"/>
        <v>0</v>
      </c>
      <c r="W266" s="144">
        <f t="shared" si="61"/>
        <v>0</v>
      </c>
      <c r="X266" s="144">
        <f t="shared" si="69"/>
        <v>0</v>
      </c>
      <c r="Y266" s="144">
        <f t="shared" si="62"/>
        <v>31.779800000000002</v>
      </c>
      <c r="Z266" s="169">
        <f t="shared" si="54"/>
        <v>0</v>
      </c>
      <c r="AA266" s="274">
        <f t="shared" si="55"/>
        <v>0</v>
      </c>
      <c r="AB266" s="169">
        <f t="shared" si="63"/>
        <v>0</v>
      </c>
      <c r="AC266" s="274">
        <f t="shared" si="56"/>
        <v>0</v>
      </c>
      <c r="AD266" s="169">
        <f t="shared" si="57"/>
        <v>0</v>
      </c>
      <c r="AE266" s="274">
        <f t="shared" si="58"/>
        <v>0</v>
      </c>
      <c r="AF266" s="169">
        <f t="shared" si="64"/>
        <v>0</v>
      </c>
      <c r="AG266" s="274">
        <f t="shared" si="59"/>
        <v>0</v>
      </c>
      <c r="AH266" s="169">
        <f t="shared" si="65"/>
        <v>0</v>
      </c>
      <c r="AI266" s="169"/>
      <c r="AJ266" s="169">
        <f t="shared" si="66"/>
        <v>0</v>
      </c>
      <c r="AK266" s="169">
        <f t="shared" si="67"/>
        <v>0</v>
      </c>
      <c r="AL266" s="169"/>
      <c r="AM266" s="169">
        <f>AK265*W265+AK266*W266</f>
        <v>0</v>
      </c>
      <c r="AN266" s="169">
        <f>(SUM(AD265:AG265)*W265+SUM(AD266:AG266)*W266)*12*VLOOKUP(C266,JNovergang,3,1)</f>
        <v>0</v>
      </c>
      <c r="AO266" s="169">
        <f>AM266-AN266</f>
        <v>0</v>
      </c>
      <c r="AP266" s="169">
        <f>M266*(100+X266)%</f>
        <v>0</v>
      </c>
      <c r="AQ266" s="274">
        <f>ROUND(M266*F266,2)</f>
        <v>0</v>
      </c>
      <c r="AS266" s="274">
        <f>ROUND((AP266+AQ266)+AM266*(N266/12),0)</f>
        <v>0</v>
      </c>
      <c r="AT266" s="274">
        <f>ROUND(AM266*(O266/12),0)</f>
        <v>0</v>
      </c>
      <c r="AU266" s="274">
        <f>ROUND(AM266*(P266/12)*U266,0)</f>
        <v>0</v>
      </c>
      <c r="AW266" s="144">
        <f t="shared" si="68"/>
        <v>0</v>
      </c>
    </row>
    <row r="267" spans="1:49">
      <c r="A267" s="173"/>
      <c r="B267" s="174"/>
      <c r="C267" s="174"/>
      <c r="D267" s="165" t="str">
        <f t="shared" si="70"/>
        <v xml:space="preserve"> </v>
      </c>
      <c r="E267" s="177"/>
      <c r="F267" s="287">
        <v>0</v>
      </c>
      <c r="G267" s="177">
        <v>37</v>
      </c>
      <c r="H267" s="177">
        <v>37</v>
      </c>
      <c r="I267" s="177"/>
      <c r="J267" s="179"/>
      <c r="K267" s="177"/>
      <c r="L267" s="179"/>
      <c r="M267" s="166"/>
      <c r="N267" s="166"/>
      <c r="O267" s="166"/>
      <c r="P267" s="166"/>
      <c r="Q267" s="167"/>
      <c r="R267" s="167"/>
      <c r="S267" s="168"/>
      <c r="V267" s="144">
        <f t="shared" si="60"/>
        <v>0</v>
      </c>
      <c r="W267" s="144">
        <f t="shared" si="61"/>
        <v>0</v>
      </c>
      <c r="X267" s="144">
        <f t="shared" si="69"/>
        <v>0</v>
      </c>
      <c r="Y267" s="144">
        <f t="shared" si="62"/>
        <v>31.779800000000002</v>
      </c>
      <c r="Z267" s="169">
        <f t="shared" si="54"/>
        <v>0</v>
      </c>
      <c r="AA267" s="274">
        <f t="shared" si="55"/>
        <v>0</v>
      </c>
      <c r="AB267" s="169">
        <f t="shared" si="63"/>
        <v>0</v>
      </c>
      <c r="AC267" s="274">
        <f t="shared" si="56"/>
        <v>0</v>
      </c>
      <c r="AD267" s="169">
        <f t="shared" si="57"/>
        <v>0</v>
      </c>
      <c r="AE267" s="274">
        <f t="shared" si="58"/>
        <v>0</v>
      </c>
      <c r="AF267" s="169">
        <f t="shared" si="64"/>
        <v>0</v>
      </c>
      <c r="AG267" s="274">
        <f t="shared" si="59"/>
        <v>0</v>
      </c>
      <c r="AH267" s="169">
        <f t="shared" si="65"/>
        <v>0</v>
      </c>
      <c r="AI267" s="169"/>
      <c r="AJ267" s="169">
        <f t="shared" si="66"/>
        <v>0</v>
      </c>
      <c r="AK267" s="169">
        <f t="shared" si="67"/>
        <v>0</v>
      </c>
      <c r="AL267" s="169"/>
      <c r="AM267" s="169"/>
      <c r="AN267" s="169"/>
      <c r="AQ267" s="169"/>
      <c r="AW267" s="144">
        <f t="shared" si="68"/>
        <v>0</v>
      </c>
    </row>
    <row r="268" spans="1:49" ht="9.75" thickBot="1">
      <c r="A268" s="175"/>
      <c r="B268" s="176"/>
      <c r="C268" s="176"/>
      <c r="D268" s="170" t="str">
        <f>VLOOKUP(C268,Tabelændringskode,2,1)</f>
        <v xml:space="preserve"> </v>
      </c>
      <c r="E268" s="178"/>
      <c r="F268" s="288">
        <v>0</v>
      </c>
      <c r="G268" s="178">
        <v>37</v>
      </c>
      <c r="H268" s="178">
        <v>37</v>
      </c>
      <c r="I268" s="178"/>
      <c r="J268" s="180"/>
      <c r="K268" s="178"/>
      <c r="L268" s="180"/>
      <c r="M268" s="180"/>
      <c r="N268" s="178"/>
      <c r="O268" s="178"/>
      <c r="P268" s="178"/>
      <c r="Q268" s="171">
        <f>AS268</f>
        <v>0</v>
      </c>
      <c r="R268" s="171">
        <f>AT268</f>
        <v>0</v>
      </c>
      <c r="S268" s="172">
        <f>AU268</f>
        <v>0</v>
      </c>
      <c r="U268" s="144">
        <f>IF(OR(C267=5,C268=5),0,1)</f>
        <v>1</v>
      </c>
      <c r="V268" s="144">
        <f t="shared" si="60"/>
        <v>0</v>
      </c>
      <c r="W268" s="144">
        <f t="shared" si="61"/>
        <v>0</v>
      </c>
      <c r="X268" s="144">
        <f t="shared" si="69"/>
        <v>0</v>
      </c>
      <c r="Y268" s="144">
        <f t="shared" si="62"/>
        <v>31.779800000000002</v>
      </c>
      <c r="Z268" s="169">
        <f t="shared" si="54"/>
        <v>0</v>
      </c>
      <c r="AA268" s="274">
        <f t="shared" si="55"/>
        <v>0</v>
      </c>
      <c r="AB268" s="169">
        <f t="shared" si="63"/>
        <v>0</v>
      </c>
      <c r="AC268" s="274">
        <f t="shared" si="56"/>
        <v>0</v>
      </c>
      <c r="AD268" s="169">
        <f t="shared" si="57"/>
        <v>0</v>
      </c>
      <c r="AE268" s="274">
        <f t="shared" si="58"/>
        <v>0</v>
      </c>
      <c r="AF268" s="169">
        <f t="shared" si="64"/>
        <v>0</v>
      </c>
      <c r="AG268" s="274">
        <f t="shared" si="59"/>
        <v>0</v>
      </c>
      <c r="AH268" s="169">
        <f t="shared" si="65"/>
        <v>0</v>
      </c>
      <c r="AI268" s="169"/>
      <c r="AJ268" s="169">
        <f t="shared" si="66"/>
        <v>0</v>
      </c>
      <c r="AK268" s="169">
        <f t="shared" si="67"/>
        <v>0</v>
      </c>
      <c r="AL268" s="169"/>
      <c r="AM268" s="169">
        <f>AK267*W267+AK268*W268</f>
        <v>0</v>
      </c>
      <c r="AN268" s="169">
        <f>(SUM(AD267:AG267)*W267+SUM(AD268:AG268)*W268)*12*VLOOKUP(C268,JNovergang,3,1)</f>
        <v>0</v>
      </c>
      <c r="AO268" s="169">
        <f>AM268-AN268</f>
        <v>0</v>
      </c>
      <c r="AP268" s="169">
        <f>M268*(100+X268)%</f>
        <v>0</v>
      </c>
      <c r="AQ268" s="274">
        <f>ROUND(M268*F268,2)</f>
        <v>0</v>
      </c>
      <c r="AS268" s="274">
        <f>ROUND((AP268+AQ268)+AM268*(N268/12),0)</f>
        <v>0</v>
      </c>
      <c r="AT268" s="274">
        <f>ROUND(AM268*(O268/12),0)</f>
        <v>0</v>
      </c>
      <c r="AU268" s="274">
        <f>ROUND(AM268*(P268/12)*U268,0)</f>
        <v>0</v>
      </c>
      <c r="AW268" s="144">
        <f t="shared" si="68"/>
        <v>0</v>
      </c>
    </row>
    <row r="269" spans="1:49">
      <c r="A269" s="173"/>
      <c r="B269" s="174"/>
      <c r="C269" s="174"/>
      <c r="D269" s="165" t="str">
        <f t="shared" si="70"/>
        <v xml:space="preserve"> </v>
      </c>
      <c r="E269" s="177"/>
      <c r="F269" s="287">
        <v>0</v>
      </c>
      <c r="G269" s="177">
        <v>37</v>
      </c>
      <c r="H269" s="177">
        <v>37</v>
      </c>
      <c r="I269" s="177"/>
      <c r="J269" s="179"/>
      <c r="K269" s="177"/>
      <c r="L269" s="179"/>
      <c r="M269" s="166"/>
      <c r="N269" s="166"/>
      <c r="O269" s="166"/>
      <c r="P269" s="166"/>
      <c r="Q269" s="167"/>
      <c r="R269" s="167"/>
      <c r="S269" s="168"/>
      <c r="V269" s="144">
        <f t="shared" si="60"/>
        <v>0</v>
      </c>
      <c r="W269" s="144">
        <f t="shared" si="61"/>
        <v>0</v>
      </c>
      <c r="X269" s="144">
        <f t="shared" si="69"/>
        <v>0</v>
      </c>
      <c r="Y269" s="144">
        <f t="shared" si="62"/>
        <v>31.779800000000002</v>
      </c>
      <c r="Z269" s="169">
        <f t="shared" si="54"/>
        <v>0</v>
      </c>
      <c r="AA269" s="274">
        <f t="shared" si="55"/>
        <v>0</v>
      </c>
      <c r="AB269" s="169">
        <f t="shared" si="63"/>
        <v>0</v>
      </c>
      <c r="AC269" s="274">
        <f t="shared" si="56"/>
        <v>0</v>
      </c>
      <c r="AD269" s="169">
        <f t="shared" si="57"/>
        <v>0</v>
      </c>
      <c r="AE269" s="274">
        <f t="shared" si="58"/>
        <v>0</v>
      </c>
      <c r="AF269" s="169">
        <f t="shared" si="64"/>
        <v>0</v>
      </c>
      <c r="AG269" s="274">
        <f t="shared" si="59"/>
        <v>0</v>
      </c>
      <c r="AH269" s="169">
        <f t="shared" si="65"/>
        <v>0</v>
      </c>
      <c r="AI269" s="169"/>
      <c r="AJ269" s="169">
        <f t="shared" si="66"/>
        <v>0</v>
      </c>
      <c r="AK269" s="169">
        <f t="shared" si="67"/>
        <v>0</v>
      </c>
      <c r="AL269" s="169"/>
      <c r="AM269" s="169"/>
      <c r="AN269" s="169"/>
      <c r="AQ269" s="169"/>
      <c r="AW269" s="144">
        <f t="shared" si="68"/>
        <v>0</v>
      </c>
    </row>
    <row r="270" spans="1:49" ht="9.75" thickBot="1">
      <c r="A270" s="175"/>
      <c r="B270" s="176"/>
      <c r="C270" s="176"/>
      <c r="D270" s="170" t="str">
        <f>VLOOKUP(C270,Tabelændringskode,2,1)</f>
        <v xml:space="preserve"> </v>
      </c>
      <c r="E270" s="178"/>
      <c r="F270" s="288">
        <v>0</v>
      </c>
      <c r="G270" s="178">
        <v>37</v>
      </c>
      <c r="H270" s="178">
        <v>37</v>
      </c>
      <c r="I270" s="178"/>
      <c r="J270" s="180"/>
      <c r="K270" s="178"/>
      <c r="L270" s="180"/>
      <c r="M270" s="180"/>
      <c r="N270" s="178"/>
      <c r="O270" s="178"/>
      <c r="P270" s="178"/>
      <c r="Q270" s="171">
        <f>AS270</f>
        <v>0</v>
      </c>
      <c r="R270" s="171">
        <f>AT270</f>
        <v>0</v>
      </c>
      <c r="S270" s="172">
        <f>AU270</f>
        <v>0</v>
      </c>
      <c r="U270" s="144">
        <f>IF(OR(C269=5,C270=5),0,1)</f>
        <v>1</v>
      </c>
      <c r="V270" s="144">
        <f t="shared" si="60"/>
        <v>0</v>
      </c>
      <c r="W270" s="144">
        <f t="shared" si="61"/>
        <v>0</v>
      </c>
      <c r="X270" s="144">
        <f t="shared" si="69"/>
        <v>0</v>
      </c>
      <c r="Y270" s="144">
        <f t="shared" si="62"/>
        <v>31.779800000000002</v>
      </c>
      <c r="Z270" s="169">
        <f t="shared" si="54"/>
        <v>0</v>
      </c>
      <c r="AA270" s="274">
        <f t="shared" si="55"/>
        <v>0</v>
      </c>
      <c r="AB270" s="169">
        <f t="shared" si="63"/>
        <v>0</v>
      </c>
      <c r="AC270" s="274">
        <f t="shared" si="56"/>
        <v>0</v>
      </c>
      <c r="AD270" s="169">
        <f t="shared" si="57"/>
        <v>0</v>
      </c>
      <c r="AE270" s="274">
        <f t="shared" si="58"/>
        <v>0</v>
      </c>
      <c r="AF270" s="169">
        <f t="shared" si="64"/>
        <v>0</v>
      </c>
      <c r="AG270" s="274">
        <f t="shared" si="59"/>
        <v>0</v>
      </c>
      <c r="AH270" s="169">
        <f t="shared" si="65"/>
        <v>0</v>
      </c>
      <c r="AI270" s="169"/>
      <c r="AJ270" s="169">
        <f t="shared" si="66"/>
        <v>0</v>
      </c>
      <c r="AK270" s="169">
        <f t="shared" si="67"/>
        <v>0</v>
      </c>
      <c r="AL270" s="169"/>
      <c r="AM270" s="169">
        <f>AK269*W269+AK270*W270</f>
        <v>0</v>
      </c>
      <c r="AN270" s="169">
        <f>(SUM(AD269:AG269)*W269+SUM(AD270:AG270)*W270)*12*VLOOKUP(C270,JNovergang,3,1)</f>
        <v>0</v>
      </c>
      <c r="AO270" s="169">
        <f>AM270-AN270</f>
        <v>0</v>
      </c>
      <c r="AP270" s="169">
        <f>M270*(100+X270)%</f>
        <v>0</v>
      </c>
      <c r="AQ270" s="274">
        <f>ROUND(M270*F270,2)</f>
        <v>0</v>
      </c>
      <c r="AS270" s="274">
        <f>ROUND((AP270+AQ270)+AM270*(N270/12),0)</f>
        <v>0</v>
      </c>
      <c r="AT270" s="274">
        <f>ROUND(AM270*(O270/12),0)</f>
        <v>0</v>
      </c>
      <c r="AU270" s="274">
        <f>ROUND(AM270*(P270/12)*U270,0)</f>
        <v>0</v>
      </c>
      <c r="AW270" s="144">
        <f t="shared" si="68"/>
        <v>0</v>
      </c>
    </row>
    <row r="271" spans="1:49">
      <c r="A271" s="173"/>
      <c r="B271" s="174"/>
      <c r="C271" s="174"/>
      <c r="D271" s="165" t="str">
        <f t="shared" si="70"/>
        <v xml:space="preserve"> </v>
      </c>
      <c r="E271" s="177"/>
      <c r="F271" s="287">
        <v>0</v>
      </c>
      <c r="G271" s="177">
        <v>37</v>
      </c>
      <c r="H271" s="177">
        <v>37</v>
      </c>
      <c r="I271" s="177"/>
      <c r="J271" s="179"/>
      <c r="K271" s="177"/>
      <c r="L271" s="179"/>
      <c r="M271" s="166"/>
      <c r="N271" s="166"/>
      <c r="O271" s="166"/>
      <c r="P271" s="166"/>
      <c r="Q271" s="167"/>
      <c r="R271" s="167"/>
      <c r="S271" s="168"/>
      <c r="V271" s="144">
        <f t="shared" si="60"/>
        <v>0</v>
      </c>
      <c r="W271" s="144">
        <f t="shared" si="61"/>
        <v>0</v>
      </c>
      <c r="X271" s="144">
        <f t="shared" si="69"/>
        <v>0</v>
      </c>
      <c r="Y271" s="144">
        <f t="shared" si="62"/>
        <v>31.779800000000002</v>
      </c>
      <c r="Z271" s="169">
        <f t="shared" si="54"/>
        <v>0</v>
      </c>
      <c r="AA271" s="274">
        <f t="shared" si="55"/>
        <v>0</v>
      </c>
      <c r="AB271" s="169">
        <f t="shared" si="63"/>
        <v>0</v>
      </c>
      <c r="AC271" s="274">
        <f t="shared" si="56"/>
        <v>0</v>
      </c>
      <c r="AD271" s="169">
        <f t="shared" si="57"/>
        <v>0</v>
      </c>
      <c r="AE271" s="274">
        <f t="shared" si="58"/>
        <v>0</v>
      </c>
      <c r="AF271" s="169">
        <f t="shared" si="64"/>
        <v>0</v>
      </c>
      <c r="AG271" s="274">
        <f t="shared" si="59"/>
        <v>0</v>
      </c>
      <c r="AH271" s="169">
        <f t="shared" si="65"/>
        <v>0</v>
      </c>
      <c r="AI271" s="169"/>
      <c r="AJ271" s="169">
        <f t="shared" si="66"/>
        <v>0</v>
      </c>
      <c r="AK271" s="169">
        <f t="shared" si="67"/>
        <v>0</v>
      </c>
      <c r="AL271" s="169"/>
      <c r="AM271" s="169"/>
      <c r="AN271" s="169"/>
      <c r="AQ271" s="169"/>
      <c r="AW271" s="144">
        <f t="shared" si="68"/>
        <v>0</v>
      </c>
    </row>
    <row r="272" spans="1:49" ht="9.75" thickBot="1">
      <c r="A272" s="175"/>
      <c r="B272" s="176"/>
      <c r="C272" s="176"/>
      <c r="D272" s="170" t="str">
        <f>VLOOKUP(C272,Tabelændringskode,2,1)</f>
        <v xml:space="preserve"> </v>
      </c>
      <c r="E272" s="178"/>
      <c r="F272" s="288">
        <v>0</v>
      </c>
      <c r="G272" s="178">
        <v>37</v>
      </c>
      <c r="H272" s="178">
        <v>37</v>
      </c>
      <c r="I272" s="178"/>
      <c r="J272" s="180"/>
      <c r="K272" s="178"/>
      <c r="L272" s="180"/>
      <c r="M272" s="180"/>
      <c r="N272" s="178"/>
      <c r="O272" s="178"/>
      <c r="P272" s="178"/>
      <c r="Q272" s="171">
        <f>AS272</f>
        <v>0</v>
      </c>
      <c r="R272" s="171">
        <f>AT272</f>
        <v>0</v>
      </c>
      <c r="S272" s="172">
        <f>AU272</f>
        <v>0</v>
      </c>
      <c r="U272" s="144">
        <f>IF(OR(C271=5,C272=5),0,1)</f>
        <v>1</v>
      </c>
      <c r="V272" s="144">
        <f t="shared" si="60"/>
        <v>0</v>
      </c>
      <c r="W272" s="144">
        <f t="shared" si="61"/>
        <v>0</v>
      </c>
      <c r="X272" s="144">
        <f t="shared" si="69"/>
        <v>0</v>
      </c>
      <c r="Y272" s="144">
        <f t="shared" si="62"/>
        <v>31.779800000000002</v>
      </c>
      <c r="Z272" s="169">
        <f t="shared" si="54"/>
        <v>0</v>
      </c>
      <c r="AA272" s="274">
        <f t="shared" si="55"/>
        <v>0</v>
      </c>
      <c r="AB272" s="169">
        <f t="shared" si="63"/>
        <v>0</v>
      </c>
      <c r="AC272" s="274">
        <f t="shared" si="56"/>
        <v>0</v>
      </c>
      <c r="AD272" s="169">
        <f t="shared" si="57"/>
        <v>0</v>
      </c>
      <c r="AE272" s="274">
        <f t="shared" si="58"/>
        <v>0</v>
      </c>
      <c r="AF272" s="169">
        <f t="shared" si="64"/>
        <v>0</v>
      </c>
      <c r="AG272" s="274">
        <f t="shared" si="59"/>
        <v>0</v>
      </c>
      <c r="AH272" s="169">
        <f t="shared" si="65"/>
        <v>0</v>
      </c>
      <c r="AI272" s="169"/>
      <c r="AJ272" s="169">
        <f t="shared" si="66"/>
        <v>0</v>
      </c>
      <c r="AK272" s="169">
        <f t="shared" si="67"/>
        <v>0</v>
      </c>
      <c r="AL272" s="169"/>
      <c r="AM272" s="169">
        <f>AK271*W271+AK272*W272</f>
        <v>0</v>
      </c>
      <c r="AN272" s="169">
        <f>(SUM(AD271:AG271)*W271+SUM(AD272:AG272)*W272)*12*VLOOKUP(C272,JNovergang,3,1)</f>
        <v>0</v>
      </c>
      <c r="AO272" s="169">
        <f>AM272-AN272</f>
        <v>0</v>
      </c>
      <c r="AP272" s="169">
        <f>M272*(100+X272)%</f>
        <v>0</v>
      </c>
      <c r="AQ272" s="274">
        <f>ROUND(M272*F272,2)</f>
        <v>0</v>
      </c>
      <c r="AS272" s="274">
        <f>ROUND((AP272+AQ272)+AM272*(N272/12),0)</f>
        <v>0</v>
      </c>
      <c r="AT272" s="274">
        <f>ROUND(AM272*(O272/12),0)</f>
        <v>0</v>
      </c>
      <c r="AU272" s="274">
        <f>ROUND(AM272*(P272/12)*U272,0)</f>
        <v>0</v>
      </c>
      <c r="AW272" s="144">
        <f t="shared" si="68"/>
        <v>0</v>
      </c>
    </row>
    <row r="273" spans="1:49">
      <c r="A273" s="173"/>
      <c r="B273" s="174"/>
      <c r="C273" s="174"/>
      <c r="D273" s="165" t="str">
        <f t="shared" si="70"/>
        <v xml:space="preserve"> </v>
      </c>
      <c r="E273" s="177"/>
      <c r="F273" s="287">
        <v>0</v>
      </c>
      <c r="G273" s="177">
        <v>37</v>
      </c>
      <c r="H273" s="177">
        <v>37</v>
      </c>
      <c r="I273" s="177"/>
      <c r="J273" s="179"/>
      <c r="K273" s="177"/>
      <c r="L273" s="179"/>
      <c r="M273" s="166"/>
      <c r="N273" s="166"/>
      <c r="O273" s="166"/>
      <c r="P273" s="166"/>
      <c r="Q273" s="167"/>
      <c r="R273" s="167"/>
      <c r="S273" s="168"/>
      <c r="V273" s="144">
        <f t="shared" si="60"/>
        <v>0</v>
      </c>
      <c r="W273" s="144">
        <f t="shared" si="61"/>
        <v>0</v>
      </c>
      <c r="X273" s="144">
        <f t="shared" si="69"/>
        <v>0</v>
      </c>
      <c r="Y273" s="144">
        <f t="shared" si="62"/>
        <v>31.779800000000002</v>
      </c>
      <c r="Z273" s="169">
        <f t="shared" si="54"/>
        <v>0</v>
      </c>
      <c r="AA273" s="274">
        <f t="shared" si="55"/>
        <v>0</v>
      </c>
      <c r="AB273" s="169">
        <f t="shared" si="63"/>
        <v>0</v>
      </c>
      <c r="AC273" s="274">
        <f t="shared" si="56"/>
        <v>0</v>
      </c>
      <c r="AD273" s="169">
        <f t="shared" si="57"/>
        <v>0</v>
      </c>
      <c r="AE273" s="274">
        <f t="shared" si="58"/>
        <v>0</v>
      </c>
      <c r="AF273" s="169">
        <f t="shared" si="64"/>
        <v>0</v>
      </c>
      <c r="AG273" s="274">
        <f t="shared" si="59"/>
        <v>0</v>
      </c>
      <c r="AH273" s="169">
        <f t="shared" si="65"/>
        <v>0</v>
      </c>
      <c r="AI273" s="169"/>
      <c r="AJ273" s="169">
        <f t="shared" si="66"/>
        <v>0</v>
      </c>
      <c r="AK273" s="169">
        <f t="shared" si="67"/>
        <v>0</v>
      </c>
      <c r="AL273" s="169"/>
      <c r="AM273" s="169"/>
      <c r="AN273" s="169"/>
      <c r="AQ273" s="169"/>
      <c r="AW273" s="144">
        <f t="shared" si="68"/>
        <v>0</v>
      </c>
    </row>
    <row r="274" spans="1:49" ht="9.75" thickBot="1">
      <c r="A274" s="175"/>
      <c r="B274" s="176"/>
      <c r="C274" s="176"/>
      <c r="D274" s="170" t="str">
        <f>VLOOKUP(C274,Tabelændringskode,2,1)</f>
        <v xml:space="preserve"> </v>
      </c>
      <c r="E274" s="178"/>
      <c r="F274" s="288">
        <v>0</v>
      </c>
      <c r="G274" s="178">
        <v>37</v>
      </c>
      <c r="H274" s="178">
        <v>37</v>
      </c>
      <c r="I274" s="178"/>
      <c r="J274" s="180"/>
      <c r="K274" s="178"/>
      <c r="L274" s="180"/>
      <c r="M274" s="180"/>
      <c r="N274" s="178"/>
      <c r="O274" s="178"/>
      <c r="P274" s="178"/>
      <c r="Q274" s="171">
        <f>AS274</f>
        <v>0</v>
      </c>
      <c r="R274" s="171">
        <f>AT274</f>
        <v>0</v>
      </c>
      <c r="S274" s="172">
        <f>AU274</f>
        <v>0</v>
      </c>
      <c r="U274" s="144">
        <f>IF(OR(C273=5,C274=5),0,1)</f>
        <v>1</v>
      </c>
      <c r="V274" s="144">
        <f t="shared" si="60"/>
        <v>0</v>
      </c>
      <c r="W274" s="144">
        <f t="shared" si="61"/>
        <v>0</v>
      </c>
      <c r="X274" s="144">
        <f t="shared" si="69"/>
        <v>0</v>
      </c>
      <c r="Y274" s="144">
        <f t="shared" si="62"/>
        <v>31.779800000000002</v>
      </c>
      <c r="Z274" s="169">
        <f t="shared" si="54"/>
        <v>0</v>
      </c>
      <c r="AA274" s="274">
        <f t="shared" si="55"/>
        <v>0</v>
      </c>
      <c r="AB274" s="169">
        <f t="shared" si="63"/>
        <v>0</v>
      </c>
      <c r="AC274" s="274">
        <f t="shared" si="56"/>
        <v>0</v>
      </c>
      <c r="AD274" s="169">
        <f t="shared" si="57"/>
        <v>0</v>
      </c>
      <c r="AE274" s="274">
        <f t="shared" si="58"/>
        <v>0</v>
      </c>
      <c r="AF274" s="169">
        <f t="shared" si="64"/>
        <v>0</v>
      </c>
      <c r="AG274" s="274">
        <f t="shared" si="59"/>
        <v>0</v>
      </c>
      <c r="AH274" s="169">
        <f t="shared" si="65"/>
        <v>0</v>
      </c>
      <c r="AI274" s="169"/>
      <c r="AJ274" s="169">
        <f t="shared" si="66"/>
        <v>0</v>
      </c>
      <c r="AK274" s="169">
        <f t="shared" si="67"/>
        <v>0</v>
      </c>
      <c r="AL274" s="169"/>
      <c r="AM274" s="169">
        <f>AK273*W273+AK274*W274</f>
        <v>0</v>
      </c>
      <c r="AN274" s="169">
        <f>(SUM(AD273:AG273)*W273+SUM(AD274:AG274)*W274)*12*VLOOKUP(C274,JNovergang,3,1)</f>
        <v>0</v>
      </c>
      <c r="AO274" s="169">
        <f>AM274-AN274</f>
        <v>0</v>
      </c>
      <c r="AP274" s="169">
        <f>M274*(100+X274)%</f>
        <v>0</v>
      </c>
      <c r="AQ274" s="274">
        <f>ROUND(M274*F274,2)</f>
        <v>0</v>
      </c>
      <c r="AS274" s="274">
        <f>ROUND((AP274+AQ274)+AM274*(N274/12),0)</f>
        <v>0</v>
      </c>
      <c r="AT274" s="274">
        <f>ROUND(AM274*(O274/12),0)</f>
        <v>0</v>
      </c>
      <c r="AU274" s="274">
        <f>ROUND(AM274*(P274/12)*U274,0)</f>
        <v>0</v>
      </c>
      <c r="AW274" s="144">
        <f t="shared" si="68"/>
        <v>0</v>
      </c>
    </row>
    <row r="275" spans="1:49">
      <c r="A275" s="173"/>
      <c r="B275" s="174"/>
      <c r="C275" s="174"/>
      <c r="D275" s="165" t="str">
        <f t="shared" si="70"/>
        <v xml:space="preserve"> </v>
      </c>
      <c r="E275" s="177"/>
      <c r="F275" s="287">
        <v>0</v>
      </c>
      <c r="G275" s="177">
        <v>37</v>
      </c>
      <c r="H275" s="177">
        <v>37</v>
      </c>
      <c r="I275" s="177"/>
      <c r="J275" s="179"/>
      <c r="K275" s="177"/>
      <c r="L275" s="179"/>
      <c r="M275" s="166"/>
      <c r="N275" s="166"/>
      <c r="O275" s="166"/>
      <c r="P275" s="166"/>
      <c r="Q275" s="167"/>
      <c r="R275" s="167"/>
      <c r="S275" s="168"/>
      <c r="V275" s="144">
        <f t="shared" si="60"/>
        <v>0</v>
      </c>
      <c r="W275" s="144">
        <f t="shared" si="61"/>
        <v>0</v>
      </c>
      <c r="X275" s="144">
        <f t="shared" si="69"/>
        <v>0</v>
      </c>
      <c r="Y275" s="144">
        <f t="shared" si="62"/>
        <v>31.779800000000002</v>
      </c>
      <c r="Z275" s="169">
        <f t="shared" si="54"/>
        <v>0</v>
      </c>
      <c r="AA275" s="274">
        <f t="shared" si="55"/>
        <v>0</v>
      </c>
      <c r="AB275" s="169">
        <f t="shared" si="63"/>
        <v>0</v>
      </c>
      <c r="AC275" s="274">
        <f t="shared" si="56"/>
        <v>0</v>
      </c>
      <c r="AD275" s="169">
        <f t="shared" si="57"/>
        <v>0</v>
      </c>
      <c r="AE275" s="274">
        <f t="shared" si="58"/>
        <v>0</v>
      </c>
      <c r="AF275" s="169">
        <f t="shared" si="64"/>
        <v>0</v>
      </c>
      <c r="AG275" s="274">
        <f t="shared" si="59"/>
        <v>0</v>
      </c>
      <c r="AH275" s="169">
        <f t="shared" si="65"/>
        <v>0</v>
      </c>
      <c r="AI275" s="169"/>
      <c r="AJ275" s="169">
        <f t="shared" si="66"/>
        <v>0</v>
      </c>
      <c r="AK275" s="169">
        <f t="shared" si="67"/>
        <v>0</v>
      </c>
      <c r="AL275" s="169"/>
      <c r="AM275" s="169"/>
      <c r="AN275" s="169"/>
      <c r="AQ275" s="169"/>
      <c r="AW275" s="144">
        <f t="shared" si="68"/>
        <v>0</v>
      </c>
    </row>
    <row r="276" spans="1:49" ht="9.75" thickBot="1">
      <c r="A276" s="175"/>
      <c r="B276" s="176"/>
      <c r="C276" s="176"/>
      <c r="D276" s="170" t="str">
        <f>VLOOKUP(C276,Tabelændringskode,2,1)</f>
        <v xml:space="preserve"> </v>
      </c>
      <c r="E276" s="178"/>
      <c r="F276" s="288">
        <v>0</v>
      </c>
      <c r="G276" s="178">
        <v>37</v>
      </c>
      <c r="H276" s="178">
        <v>37</v>
      </c>
      <c r="I276" s="178"/>
      <c r="J276" s="180"/>
      <c r="K276" s="178"/>
      <c r="L276" s="180"/>
      <c r="M276" s="180"/>
      <c r="N276" s="178"/>
      <c r="O276" s="178"/>
      <c r="P276" s="178"/>
      <c r="Q276" s="171">
        <f>AS276</f>
        <v>0</v>
      </c>
      <c r="R276" s="171">
        <f>AT276</f>
        <v>0</v>
      </c>
      <c r="S276" s="172">
        <f>AU276</f>
        <v>0</v>
      </c>
      <c r="U276" s="144">
        <f>IF(OR(C275=5,C276=5),0,1)</f>
        <v>1</v>
      </c>
      <c r="V276" s="144">
        <f t="shared" si="60"/>
        <v>0</v>
      </c>
      <c r="W276" s="144">
        <f t="shared" si="61"/>
        <v>0</v>
      </c>
      <c r="X276" s="144">
        <f t="shared" si="69"/>
        <v>0</v>
      </c>
      <c r="Y276" s="144">
        <f t="shared" si="62"/>
        <v>31.779800000000002</v>
      </c>
      <c r="Z276" s="169">
        <f t="shared" si="54"/>
        <v>0</v>
      </c>
      <c r="AA276" s="274">
        <f t="shared" si="55"/>
        <v>0</v>
      </c>
      <c r="AB276" s="169">
        <f t="shared" si="63"/>
        <v>0</v>
      </c>
      <c r="AC276" s="274">
        <f t="shared" si="56"/>
        <v>0</v>
      </c>
      <c r="AD276" s="169">
        <f t="shared" si="57"/>
        <v>0</v>
      </c>
      <c r="AE276" s="274">
        <f t="shared" si="58"/>
        <v>0</v>
      </c>
      <c r="AF276" s="169">
        <f t="shared" si="64"/>
        <v>0</v>
      </c>
      <c r="AG276" s="274">
        <f t="shared" si="59"/>
        <v>0</v>
      </c>
      <c r="AH276" s="169">
        <f t="shared" si="65"/>
        <v>0</v>
      </c>
      <c r="AI276" s="169"/>
      <c r="AJ276" s="169">
        <f t="shared" si="66"/>
        <v>0</v>
      </c>
      <c r="AK276" s="169">
        <f t="shared" si="67"/>
        <v>0</v>
      </c>
      <c r="AL276" s="169"/>
      <c r="AM276" s="169">
        <f>AK275*W275+AK276*W276</f>
        <v>0</v>
      </c>
      <c r="AN276" s="169">
        <f>(SUM(AD275:AG275)*W275+SUM(AD276:AG276)*W276)*12*VLOOKUP(C276,JNovergang,3,1)</f>
        <v>0</v>
      </c>
      <c r="AO276" s="169">
        <f>AM276-AN276</f>
        <v>0</v>
      </c>
      <c r="AP276" s="169">
        <f>M276*(100+X276)%</f>
        <v>0</v>
      </c>
      <c r="AQ276" s="274">
        <f>ROUND(M276*F276,2)</f>
        <v>0</v>
      </c>
      <c r="AS276" s="274">
        <f>ROUND((AP276+AQ276)+AM276*(N276/12),0)</f>
        <v>0</v>
      </c>
      <c r="AT276" s="274">
        <f>ROUND(AM276*(O276/12),0)</f>
        <v>0</v>
      </c>
      <c r="AU276" s="274">
        <f>ROUND(AM276*(P276/12)*U276,0)</f>
        <v>0</v>
      </c>
      <c r="AW276" s="144">
        <f t="shared" si="68"/>
        <v>0</v>
      </c>
    </row>
    <row r="277" spans="1:49">
      <c r="A277" s="173"/>
      <c r="B277" s="174"/>
      <c r="C277" s="174"/>
      <c r="D277" s="165" t="str">
        <f t="shared" si="70"/>
        <v xml:space="preserve"> </v>
      </c>
      <c r="E277" s="177"/>
      <c r="F277" s="287">
        <v>0</v>
      </c>
      <c r="G277" s="177">
        <v>37</v>
      </c>
      <c r="H277" s="177">
        <v>37</v>
      </c>
      <c r="I277" s="177"/>
      <c r="J277" s="179"/>
      <c r="K277" s="177"/>
      <c r="L277" s="179"/>
      <c r="M277" s="166"/>
      <c r="N277" s="166"/>
      <c r="O277" s="166"/>
      <c r="P277" s="166"/>
      <c r="Q277" s="167"/>
      <c r="R277" s="167"/>
      <c r="S277" s="168"/>
      <c r="V277" s="144">
        <f t="shared" si="60"/>
        <v>0</v>
      </c>
      <c r="W277" s="144">
        <f t="shared" si="61"/>
        <v>0</v>
      </c>
      <c r="X277" s="144">
        <f t="shared" si="69"/>
        <v>0</v>
      </c>
      <c r="Y277" s="144">
        <f t="shared" si="62"/>
        <v>31.779800000000002</v>
      </c>
      <c r="Z277" s="169">
        <f t="shared" ref="Z277:Z308" si="71">ROUND(VLOOKUP(I277,TabelLønninger,VLOOKUP(E277,TabelLøntabel,2,1),1)*G277/H277,2)</f>
        <v>0</v>
      </c>
      <c r="AA277" s="274">
        <f t="shared" ref="AA277:AA308" si="72">ROUND(VLOOKUP(I277,TabelLønninger,VLOOKUP(E277,TabelPensgivLøn,2))*F277/12*G277/H277,2)</f>
        <v>0</v>
      </c>
      <c r="AB277" s="169">
        <f t="shared" si="63"/>
        <v>0</v>
      </c>
      <c r="AC277" s="274">
        <f t="shared" ref="AC277:AC308" si="73">ROUND(AB277*F277,2)</f>
        <v>0</v>
      </c>
      <c r="AD277" s="169">
        <f t="shared" ref="AD277:AD308" si="74">ROUND(VLOOKUP(I277+K277,TabelLønninger,VLOOKUP(E277,TabelLøntabel,2,1),1)*G277/H277,2)-Z277</f>
        <v>0</v>
      </c>
      <c r="AE277" s="274">
        <f t="shared" ref="AE277:AE308" si="75">ROUND(VLOOKUP(I277+K277,TabelLønninger,VLOOKUP(E277,TabelPensgivLøn,2))*F277/12*G277/H277,2)-AA277</f>
        <v>0</v>
      </c>
      <c r="AF277" s="169">
        <f t="shared" si="64"/>
        <v>0</v>
      </c>
      <c r="AG277" s="274">
        <f t="shared" ref="AG277:AG308" si="76">ROUND(AF277*F277,2)</f>
        <v>0</v>
      </c>
      <c r="AH277" s="169">
        <f t="shared" si="65"/>
        <v>0</v>
      </c>
      <c r="AI277" s="169"/>
      <c r="AJ277" s="169">
        <f t="shared" si="66"/>
        <v>0</v>
      </c>
      <c r="AK277" s="169">
        <f t="shared" si="67"/>
        <v>0</v>
      </c>
      <c r="AL277" s="169"/>
      <c r="AM277" s="169"/>
      <c r="AN277" s="169"/>
      <c r="AQ277" s="169"/>
      <c r="AW277" s="144">
        <f t="shared" si="68"/>
        <v>0</v>
      </c>
    </row>
    <row r="278" spans="1:49" ht="9.75" thickBot="1">
      <c r="A278" s="175"/>
      <c r="B278" s="176"/>
      <c r="C278" s="176"/>
      <c r="D278" s="170" t="str">
        <f>VLOOKUP(C278,Tabelændringskode,2,1)</f>
        <v xml:space="preserve"> </v>
      </c>
      <c r="E278" s="178"/>
      <c r="F278" s="288">
        <v>0</v>
      </c>
      <c r="G278" s="178">
        <v>37</v>
      </c>
      <c r="H278" s="178">
        <v>37</v>
      </c>
      <c r="I278" s="178"/>
      <c r="J278" s="180"/>
      <c r="K278" s="178"/>
      <c r="L278" s="180"/>
      <c r="M278" s="180"/>
      <c r="N278" s="178"/>
      <c r="O278" s="178"/>
      <c r="P278" s="178"/>
      <c r="Q278" s="171">
        <f>AS278</f>
        <v>0</v>
      </c>
      <c r="R278" s="171">
        <f>AT278</f>
        <v>0</v>
      </c>
      <c r="S278" s="172">
        <f>AU278</f>
        <v>0</v>
      </c>
      <c r="U278" s="144">
        <f>IF(OR(C277=5,C278=5),0,1)</f>
        <v>1</v>
      </c>
      <c r="V278" s="144">
        <f t="shared" ref="V278:V308" si="77">VLOOKUP(C278,TabelRammeforbrug,3,1)</f>
        <v>0</v>
      </c>
      <c r="W278" s="144">
        <f t="shared" ref="W278:W308" si="78">VLOOKUP(C278,FraTil,3,1)</f>
        <v>0</v>
      </c>
      <c r="X278" s="144">
        <f t="shared" si="69"/>
        <v>0</v>
      </c>
      <c r="Y278" s="144">
        <f t="shared" ref="Y278:Y308" si="79">VLOOKUP(E278,TabelPctReg,2)</f>
        <v>31.779800000000002</v>
      </c>
      <c r="Z278" s="169">
        <f t="shared" si="71"/>
        <v>0</v>
      </c>
      <c r="AA278" s="274">
        <f t="shared" si="72"/>
        <v>0</v>
      </c>
      <c r="AB278" s="169">
        <f t="shared" ref="AB278:AB308" si="80">ROUND(J278/12*(1+Y278%),2)*G278/H278</f>
        <v>0</v>
      </c>
      <c r="AC278" s="274">
        <f t="shared" si="73"/>
        <v>0</v>
      </c>
      <c r="AD278" s="169">
        <f t="shared" si="74"/>
        <v>0</v>
      </c>
      <c r="AE278" s="274">
        <f t="shared" si="75"/>
        <v>0</v>
      </c>
      <c r="AF278" s="169">
        <f t="shared" ref="AF278:AF308" si="81">ROUND(L278/12*(1+Y278%),2)*G278/H278</f>
        <v>0</v>
      </c>
      <c r="AG278" s="274">
        <f t="shared" si="76"/>
        <v>0</v>
      </c>
      <c r="AH278" s="169">
        <f t="shared" ref="AH278:AH308" si="82">ROUND((Z278+AB278+AD278+AF278)*X278%,2)</f>
        <v>0</v>
      </c>
      <c r="AI278" s="169"/>
      <c r="AJ278" s="169">
        <f t="shared" ref="AJ278:AJ308" si="83">SUM(Z278:AH278)</f>
        <v>0</v>
      </c>
      <c r="AK278" s="169">
        <f t="shared" ref="AK278:AK308" si="84">AJ278*12</f>
        <v>0</v>
      </c>
      <c r="AL278" s="169"/>
      <c r="AM278" s="169">
        <f>AK277*W277+AK278*W278</f>
        <v>0</v>
      </c>
      <c r="AN278" s="169">
        <f>(SUM(AD277:AG277)*W277+SUM(AD278:AG278)*W278)*12*VLOOKUP(C278,JNovergang,3,1)</f>
        <v>0</v>
      </c>
      <c r="AO278" s="169">
        <f>AM278-AN278</f>
        <v>0</v>
      </c>
      <c r="AP278" s="169">
        <f>M278*(100+X278)%</f>
        <v>0</v>
      </c>
      <c r="AQ278" s="274">
        <f>ROUND(M278*F278,2)</f>
        <v>0</v>
      </c>
      <c r="AS278" s="274">
        <f>ROUND((AP278+AQ278)+AM278*(N278/12),0)</f>
        <v>0</v>
      </c>
      <c r="AT278" s="274">
        <f>ROUND(AM278*(O278/12),0)</f>
        <v>0</v>
      </c>
      <c r="AU278" s="274">
        <f>ROUND(AM278*(P278/12)*U278,0)</f>
        <v>0</v>
      </c>
      <c r="AW278" s="144">
        <f t="shared" ref="AW278:AW308" si="85">IF(ISNUMBER(C278),ROW(),0)</f>
        <v>0</v>
      </c>
    </row>
    <row r="279" spans="1:49">
      <c r="A279" s="173"/>
      <c r="B279" s="174"/>
      <c r="C279" s="174"/>
      <c r="D279" s="165" t="str">
        <f t="shared" si="70"/>
        <v xml:space="preserve"> </v>
      </c>
      <c r="E279" s="177"/>
      <c r="F279" s="287">
        <v>0</v>
      </c>
      <c r="G279" s="177">
        <v>37</v>
      </c>
      <c r="H279" s="177">
        <v>37</v>
      </c>
      <c r="I279" s="177"/>
      <c r="J279" s="179"/>
      <c r="K279" s="177"/>
      <c r="L279" s="179"/>
      <c r="M279" s="166"/>
      <c r="N279" s="166"/>
      <c r="O279" s="166"/>
      <c r="P279" s="166"/>
      <c r="Q279" s="167"/>
      <c r="R279" s="167"/>
      <c r="S279" s="168"/>
      <c r="V279" s="144">
        <f t="shared" si="77"/>
        <v>0</v>
      </c>
      <c r="W279" s="144">
        <f t="shared" si="78"/>
        <v>0</v>
      </c>
      <c r="X279" s="144">
        <f t="shared" si="69"/>
        <v>0</v>
      </c>
      <c r="Y279" s="144">
        <f t="shared" si="79"/>
        <v>31.779800000000002</v>
      </c>
      <c r="Z279" s="169">
        <f t="shared" si="71"/>
        <v>0</v>
      </c>
      <c r="AA279" s="274">
        <f t="shared" si="72"/>
        <v>0</v>
      </c>
      <c r="AB279" s="169">
        <f t="shared" si="80"/>
        <v>0</v>
      </c>
      <c r="AC279" s="274">
        <f t="shared" si="73"/>
        <v>0</v>
      </c>
      <c r="AD279" s="169">
        <f t="shared" si="74"/>
        <v>0</v>
      </c>
      <c r="AE279" s="274">
        <f t="shared" si="75"/>
        <v>0</v>
      </c>
      <c r="AF279" s="169">
        <f t="shared" si="81"/>
        <v>0</v>
      </c>
      <c r="AG279" s="274">
        <f t="shared" si="76"/>
        <v>0</v>
      </c>
      <c r="AH279" s="169">
        <f t="shared" si="82"/>
        <v>0</v>
      </c>
      <c r="AI279" s="169"/>
      <c r="AJ279" s="169">
        <f t="shared" si="83"/>
        <v>0</v>
      </c>
      <c r="AK279" s="169">
        <f t="shared" si="84"/>
        <v>0</v>
      </c>
      <c r="AL279" s="169"/>
      <c r="AM279" s="169"/>
      <c r="AN279" s="169"/>
      <c r="AQ279" s="169"/>
      <c r="AW279" s="144">
        <f t="shared" si="85"/>
        <v>0</v>
      </c>
    </row>
    <row r="280" spans="1:49" ht="9.75" thickBot="1">
      <c r="A280" s="175"/>
      <c r="B280" s="176"/>
      <c r="C280" s="176"/>
      <c r="D280" s="170" t="str">
        <f>VLOOKUP(C280,Tabelændringskode,2,1)</f>
        <v xml:space="preserve"> </v>
      </c>
      <c r="E280" s="178"/>
      <c r="F280" s="288">
        <v>0</v>
      </c>
      <c r="G280" s="178">
        <v>37</v>
      </c>
      <c r="H280" s="178">
        <v>37</v>
      </c>
      <c r="I280" s="178"/>
      <c r="J280" s="180"/>
      <c r="K280" s="178"/>
      <c r="L280" s="180"/>
      <c r="M280" s="180"/>
      <c r="N280" s="178"/>
      <c r="O280" s="178"/>
      <c r="P280" s="178"/>
      <c r="Q280" s="171">
        <f>AS280</f>
        <v>0</v>
      </c>
      <c r="R280" s="171">
        <f>AT280</f>
        <v>0</v>
      </c>
      <c r="S280" s="172">
        <f>AU280</f>
        <v>0</v>
      </c>
      <c r="U280" s="144">
        <f>IF(OR(C279=5,C280=5),0,1)</f>
        <v>1</v>
      </c>
      <c r="V280" s="144">
        <f t="shared" si="77"/>
        <v>0</v>
      </c>
      <c r="W280" s="144">
        <f t="shared" si="78"/>
        <v>0</v>
      </c>
      <c r="X280" s="144">
        <f t="shared" si="69"/>
        <v>0</v>
      </c>
      <c r="Y280" s="144">
        <f t="shared" si="79"/>
        <v>31.779800000000002</v>
      </c>
      <c r="Z280" s="169">
        <f t="shared" si="71"/>
        <v>0</v>
      </c>
      <c r="AA280" s="274">
        <f t="shared" si="72"/>
        <v>0</v>
      </c>
      <c r="AB280" s="169">
        <f t="shared" si="80"/>
        <v>0</v>
      </c>
      <c r="AC280" s="274">
        <f t="shared" si="73"/>
        <v>0</v>
      </c>
      <c r="AD280" s="169">
        <f t="shared" si="74"/>
        <v>0</v>
      </c>
      <c r="AE280" s="274">
        <f t="shared" si="75"/>
        <v>0</v>
      </c>
      <c r="AF280" s="169">
        <f t="shared" si="81"/>
        <v>0</v>
      </c>
      <c r="AG280" s="274">
        <f t="shared" si="76"/>
        <v>0</v>
      </c>
      <c r="AH280" s="169">
        <f t="shared" si="82"/>
        <v>0</v>
      </c>
      <c r="AI280" s="169"/>
      <c r="AJ280" s="169">
        <f t="shared" si="83"/>
        <v>0</v>
      </c>
      <c r="AK280" s="169">
        <f t="shared" si="84"/>
        <v>0</v>
      </c>
      <c r="AL280" s="169"/>
      <c r="AM280" s="169">
        <f>AK279*W279+AK280*W280</f>
        <v>0</v>
      </c>
      <c r="AN280" s="169">
        <f>(SUM(AD279:AG279)*W279+SUM(AD280:AG280)*W280)*12*VLOOKUP(C280,JNovergang,3,1)</f>
        <v>0</v>
      </c>
      <c r="AO280" s="169">
        <f>AM280-AN280</f>
        <v>0</v>
      </c>
      <c r="AP280" s="169">
        <f>M280*(100+X280)%</f>
        <v>0</v>
      </c>
      <c r="AQ280" s="274">
        <f>ROUND(M280*F280,2)</f>
        <v>0</v>
      </c>
      <c r="AS280" s="274">
        <f>ROUND((AP280+AQ280)+AM280*(N280/12),0)</f>
        <v>0</v>
      </c>
      <c r="AT280" s="274">
        <f>ROUND(AM280*(O280/12),0)</f>
        <v>0</v>
      </c>
      <c r="AU280" s="274">
        <f>ROUND(AM280*(P280/12)*U280,0)</f>
        <v>0</v>
      </c>
      <c r="AW280" s="144">
        <f t="shared" si="85"/>
        <v>0</v>
      </c>
    </row>
    <row r="281" spans="1:49">
      <c r="A281" s="173"/>
      <c r="B281" s="174"/>
      <c r="C281" s="174"/>
      <c r="D281" s="165" t="str">
        <f t="shared" si="70"/>
        <v xml:space="preserve"> </v>
      </c>
      <c r="E281" s="177"/>
      <c r="F281" s="287">
        <v>0</v>
      </c>
      <c r="G281" s="177">
        <v>37</v>
      </c>
      <c r="H281" s="177">
        <v>37</v>
      </c>
      <c r="I281" s="177"/>
      <c r="J281" s="179"/>
      <c r="K281" s="177"/>
      <c r="L281" s="179"/>
      <c r="M281" s="166"/>
      <c r="N281" s="166"/>
      <c r="O281" s="166"/>
      <c r="P281" s="166"/>
      <c r="Q281" s="167"/>
      <c r="R281" s="167"/>
      <c r="S281" s="168"/>
      <c r="V281" s="144">
        <f t="shared" si="77"/>
        <v>0</v>
      </c>
      <c r="W281" s="144">
        <f t="shared" si="78"/>
        <v>0</v>
      </c>
      <c r="X281" s="144">
        <f t="shared" si="69"/>
        <v>0</v>
      </c>
      <c r="Y281" s="144">
        <f t="shared" si="79"/>
        <v>31.779800000000002</v>
      </c>
      <c r="Z281" s="169">
        <f t="shared" si="71"/>
        <v>0</v>
      </c>
      <c r="AA281" s="274">
        <f t="shared" si="72"/>
        <v>0</v>
      </c>
      <c r="AB281" s="169">
        <f t="shared" si="80"/>
        <v>0</v>
      </c>
      <c r="AC281" s="274">
        <f t="shared" si="73"/>
        <v>0</v>
      </c>
      <c r="AD281" s="169">
        <f t="shared" si="74"/>
        <v>0</v>
      </c>
      <c r="AE281" s="274">
        <f t="shared" si="75"/>
        <v>0</v>
      </c>
      <c r="AF281" s="169">
        <f t="shared" si="81"/>
        <v>0</v>
      </c>
      <c r="AG281" s="274">
        <f t="shared" si="76"/>
        <v>0</v>
      </c>
      <c r="AH281" s="169">
        <f t="shared" si="82"/>
        <v>0</v>
      </c>
      <c r="AI281" s="169"/>
      <c r="AJ281" s="169">
        <f t="shared" si="83"/>
        <v>0</v>
      </c>
      <c r="AK281" s="169">
        <f t="shared" si="84"/>
        <v>0</v>
      </c>
      <c r="AL281" s="169"/>
      <c r="AM281" s="169"/>
      <c r="AN281" s="169"/>
      <c r="AQ281" s="169"/>
      <c r="AW281" s="144">
        <f t="shared" si="85"/>
        <v>0</v>
      </c>
    </row>
    <row r="282" spans="1:49" ht="9.75" thickBot="1">
      <c r="A282" s="175"/>
      <c r="B282" s="176"/>
      <c r="C282" s="176"/>
      <c r="D282" s="170" t="str">
        <f>VLOOKUP(C282,Tabelændringskode,2,1)</f>
        <v xml:space="preserve"> </v>
      </c>
      <c r="E282" s="178"/>
      <c r="F282" s="288">
        <v>0</v>
      </c>
      <c r="G282" s="178">
        <v>37</v>
      </c>
      <c r="H282" s="178">
        <v>37</v>
      </c>
      <c r="I282" s="178"/>
      <c r="J282" s="180"/>
      <c r="K282" s="178"/>
      <c r="L282" s="180"/>
      <c r="M282" s="180"/>
      <c r="N282" s="178"/>
      <c r="O282" s="178"/>
      <c r="P282" s="178"/>
      <c r="Q282" s="171">
        <f>AS282</f>
        <v>0</v>
      </c>
      <c r="R282" s="171">
        <f>AT282</f>
        <v>0</v>
      </c>
      <c r="S282" s="172">
        <f>AU282</f>
        <v>0</v>
      </c>
      <c r="U282" s="144">
        <f>IF(OR(C281=5,C282=5),0,1)</f>
        <v>1</v>
      </c>
      <c r="V282" s="144">
        <f t="shared" si="77"/>
        <v>0</v>
      </c>
      <c r="W282" s="144">
        <f t="shared" si="78"/>
        <v>0</v>
      </c>
      <c r="X282" s="144">
        <f t="shared" si="69"/>
        <v>0</v>
      </c>
      <c r="Y282" s="144">
        <f t="shared" si="79"/>
        <v>31.779800000000002</v>
      </c>
      <c r="Z282" s="169">
        <f t="shared" si="71"/>
        <v>0</v>
      </c>
      <c r="AA282" s="274">
        <f t="shared" si="72"/>
        <v>0</v>
      </c>
      <c r="AB282" s="169">
        <f t="shared" si="80"/>
        <v>0</v>
      </c>
      <c r="AC282" s="274">
        <f t="shared" si="73"/>
        <v>0</v>
      </c>
      <c r="AD282" s="169">
        <f t="shared" si="74"/>
        <v>0</v>
      </c>
      <c r="AE282" s="274">
        <f t="shared" si="75"/>
        <v>0</v>
      </c>
      <c r="AF282" s="169">
        <f t="shared" si="81"/>
        <v>0</v>
      </c>
      <c r="AG282" s="274">
        <f t="shared" si="76"/>
        <v>0</v>
      </c>
      <c r="AH282" s="169">
        <f t="shared" si="82"/>
        <v>0</v>
      </c>
      <c r="AI282" s="169"/>
      <c r="AJ282" s="169">
        <f t="shared" si="83"/>
        <v>0</v>
      </c>
      <c r="AK282" s="169">
        <f t="shared" si="84"/>
        <v>0</v>
      </c>
      <c r="AL282" s="169"/>
      <c r="AM282" s="169">
        <f>AK281*W281+AK282*W282</f>
        <v>0</v>
      </c>
      <c r="AN282" s="169">
        <f>(SUM(AD281:AG281)*W281+SUM(AD282:AG282)*W282)*12*VLOOKUP(C282,JNovergang,3,1)</f>
        <v>0</v>
      </c>
      <c r="AO282" s="169">
        <f>AM282-AN282</f>
        <v>0</v>
      </c>
      <c r="AP282" s="169">
        <f>M282*(100+X282)%</f>
        <v>0</v>
      </c>
      <c r="AQ282" s="274">
        <f>ROUND(M282*F282,2)</f>
        <v>0</v>
      </c>
      <c r="AS282" s="274">
        <f>ROUND((AP282+AQ282)+AM282*(N282/12),0)</f>
        <v>0</v>
      </c>
      <c r="AT282" s="274">
        <f>ROUND(AM282*(O282/12),0)</f>
        <v>0</v>
      </c>
      <c r="AU282" s="274">
        <f>ROUND(AM282*(P282/12)*U282,0)</f>
        <v>0</v>
      </c>
      <c r="AW282" s="144">
        <f t="shared" si="85"/>
        <v>0</v>
      </c>
    </row>
    <row r="283" spans="1:49">
      <c r="A283" s="173"/>
      <c r="B283" s="174"/>
      <c r="C283" s="174"/>
      <c r="D283" s="165" t="str">
        <f t="shared" ref="D283:D308" si="86">VLOOKUP(C283,Tabelændringskode,2,1)</f>
        <v xml:space="preserve"> </v>
      </c>
      <c r="E283" s="177"/>
      <c r="F283" s="287">
        <v>0</v>
      </c>
      <c r="G283" s="177">
        <v>37</v>
      </c>
      <c r="H283" s="177">
        <v>37</v>
      </c>
      <c r="I283" s="177"/>
      <c r="J283" s="179"/>
      <c r="K283" s="177"/>
      <c r="L283" s="179"/>
      <c r="M283" s="166"/>
      <c r="N283" s="166"/>
      <c r="O283" s="166"/>
      <c r="P283" s="166"/>
      <c r="Q283" s="167"/>
      <c r="R283" s="167"/>
      <c r="S283" s="168"/>
      <c r="V283" s="144">
        <f t="shared" si="77"/>
        <v>0</v>
      </c>
      <c r="W283" s="144">
        <f t="shared" si="78"/>
        <v>0</v>
      </c>
      <c r="X283" s="144">
        <f t="shared" si="69"/>
        <v>0</v>
      </c>
      <c r="Y283" s="144">
        <f t="shared" si="79"/>
        <v>31.779800000000002</v>
      </c>
      <c r="Z283" s="169">
        <f t="shared" si="71"/>
        <v>0</v>
      </c>
      <c r="AA283" s="274">
        <f t="shared" si="72"/>
        <v>0</v>
      </c>
      <c r="AB283" s="169">
        <f t="shared" si="80"/>
        <v>0</v>
      </c>
      <c r="AC283" s="274">
        <f t="shared" si="73"/>
        <v>0</v>
      </c>
      <c r="AD283" s="169">
        <f t="shared" si="74"/>
        <v>0</v>
      </c>
      <c r="AE283" s="274">
        <f t="shared" si="75"/>
        <v>0</v>
      </c>
      <c r="AF283" s="169">
        <f t="shared" si="81"/>
        <v>0</v>
      </c>
      <c r="AG283" s="274">
        <f t="shared" si="76"/>
        <v>0</v>
      </c>
      <c r="AH283" s="169">
        <f t="shared" si="82"/>
        <v>0</v>
      </c>
      <c r="AI283" s="169"/>
      <c r="AJ283" s="169">
        <f t="shared" si="83"/>
        <v>0</v>
      </c>
      <c r="AK283" s="169">
        <f t="shared" si="84"/>
        <v>0</v>
      </c>
      <c r="AL283" s="169"/>
      <c r="AM283" s="169"/>
      <c r="AN283" s="169"/>
      <c r="AQ283" s="169"/>
      <c r="AW283" s="144">
        <f t="shared" si="85"/>
        <v>0</v>
      </c>
    </row>
    <row r="284" spans="1:49" ht="9.75" thickBot="1">
      <c r="A284" s="175"/>
      <c r="B284" s="176"/>
      <c r="C284" s="176"/>
      <c r="D284" s="170" t="str">
        <f t="shared" si="86"/>
        <v xml:space="preserve"> </v>
      </c>
      <c r="E284" s="178"/>
      <c r="F284" s="288">
        <v>0</v>
      </c>
      <c r="G284" s="178">
        <v>37</v>
      </c>
      <c r="H284" s="178">
        <v>37</v>
      </c>
      <c r="I284" s="178"/>
      <c r="J284" s="180"/>
      <c r="K284" s="178"/>
      <c r="L284" s="180"/>
      <c r="M284" s="180"/>
      <c r="N284" s="178"/>
      <c r="O284" s="178"/>
      <c r="P284" s="178"/>
      <c r="Q284" s="171">
        <f>AS284</f>
        <v>0</v>
      </c>
      <c r="R284" s="171">
        <f>AT284</f>
        <v>0</v>
      </c>
      <c r="S284" s="172">
        <f>AU284</f>
        <v>0</v>
      </c>
      <c r="U284" s="144">
        <f>IF(OR(C283=5,C284=5),0,1)</f>
        <v>1</v>
      </c>
      <c r="V284" s="144">
        <f t="shared" si="77"/>
        <v>0</v>
      </c>
      <c r="W284" s="144">
        <f t="shared" si="78"/>
        <v>0</v>
      </c>
      <c r="X284" s="144">
        <f t="shared" si="69"/>
        <v>0</v>
      </c>
      <c r="Y284" s="144">
        <f t="shared" si="79"/>
        <v>31.779800000000002</v>
      </c>
      <c r="Z284" s="169">
        <f t="shared" si="71"/>
        <v>0</v>
      </c>
      <c r="AA284" s="274">
        <f t="shared" si="72"/>
        <v>0</v>
      </c>
      <c r="AB284" s="169">
        <f t="shared" si="80"/>
        <v>0</v>
      </c>
      <c r="AC284" s="274">
        <f t="shared" si="73"/>
        <v>0</v>
      </c>
      <c r="AD284" s="169">
        <f t="shared" si="74"/>
        <v>0</v>
      </c>
      <c r="AE284" s="274">
        <f t="shared" si="75"/>
        <v>0</v>
      </c>
      <c r="AF284" s="169">
        <f t="shared" si="81"/>
        <v>0</v>
      </c>
      <c r="AG284" s="274">
        <f t="shared" si="76"/>
        <v>0</v>
      </c>
      <c r="AH284" s="169">
        <f t="shared" si="82"/>
        <v>0</v>
      </c>
      <c r="AI284" s="169"/>
      <c r="AJ284" s="169">
        <f t="shared" si="83"/>
        <v>0</v>
      </c>
      <c r="AK284" s="169">
        <f t="shared" si="84"/>
        <v>0</v>
      </c>
      <c r="AL284" s="169"/>
      <c r="AM284" s="169">
        <f>AK283*W283+AK284*W284</f>
        <v>0</v>
      </c>
      <c r="AN284" s="169">
        <f>(SUM(AD283:AG283)*W283+SUM(AD284:AG284)*W284)*12*VLOOKUP(C284,JNovergang,3,1)</f>
        <v>0</v>
      </c>
      <c r="AO284" s="169">
        <f>AM284-AN284</f>
        <v>0</v>
      </c>
      <c r="AP284" s="169">
        <f>M284*(100+X284)%</f>
        <v>0</v>
      </c>
      <c r="AQ284" s="274">
        <f>ROUND(M284*F284,2)</f>
        <v>0</v>
      </c>
      <c r="AS284" s="274">
        <f>ROUND((AP284+AQ284)+AM284*(N284/12),0)</f>
        <v>0</v>
      </c>
      <c r="AT284" s="274">
        <f>ROUND(AM284*(O284/12),0)</f>
        <v>0</v>
      </c>
      <c r="AU284" s="274">
        <f>ROUND(AM284*(P284/12)*U284,0)</f>
        <v>0</v>
      </c>
      <c r="AW284" s="144">
        <f t="shared" si="85"/>
        <v>0</v>
      </c>
    </row>
    <row r="285" spans="1:49">
      <c r="A285" s="173"/>
      <c r="B285" s="174"/>
      <c r="C285" s="174"/>
      <c r="D285" s="165" t="str">
        <f t="shared" si="86"/>
        <v xml:space="preserve"> </v>
      </c>
      <c r="E285" s="177"/>
      <c r="F285" s="287">
        <v>0</v>
      </c>
      <c r="G285" s="177">
        <v>37</v>
      </c>
      <c r="H285" s="177">
        <v>37</v>
      </c>
      <c r="I285" s="177"/>
      <c r="J285" s="179"/>
      <c r="K285" s="177"/>
      <c r="L285" s="179"/>
      <c r="M285" s="166"/>
      <c r="N285" s="166"/>
      <c r="O285" s="166"/>
      <c r="P285" s="166"/>
      <c r="Q285" s="167"/>
      <c r="R285" s="167"/>
      <c r="S285" s="168"/>
      <c r="V285" s="144">
        <f t="shared" si="77"/>
        <v>0</v>
      </c>
      <c r="W285" s="144">
        <f t="shared" si="78"/>
        <v>0</v>
      </c>
      <c r="X285" s="144">
        <f t="shared" si="69"/>
        <v>0</v>
      </c>
      <c r="Y285" s="144">
        <f t="shared" si="79"/>
        <v>31.779800000000002</v>
      </c>
      <c r="Z285" s="169">
        <f t="shared" si="71"/>
        <v>0</v>
      </c>
      <c r="AA285" s="274">
        <f t="shared" si="72"/>
        <v>0</v>
      </c>
      <c r="AB285" s="169">
        <f t="shared" si="80"/>
        <v>0</v>
      </c>
      <c r="AC285" s="274">
        <f t="shared" si="73"/>
        <v>0</v>
      </c>
      <c r="AD285" s="169">
        <f t="shared" si="74"/>
        <v>0</v>
      </c>
      <c r="AE285" s="274">
        <f t="shared" si="75"/>
        <v>0</v>
      </c>
      <c r="AF285" s="169">
        <f t="shared" si="81"/>
        <v>0</v>
      </c>
      <c r="AG285" s="274">
        <f t="shared" si="76"/>
        <v>0</v>
      </c>
      <c r="AH285" s="169">
        <f t="shared" si="82"/>
        <v>0</v>
      </c>
      <c r="AI285" s="169"/>
      <c r="AJ285" s="169">
        <f t="shared" si="83"/>
        <v>0</v>
      </c>
      <c r="AK285" s="169">
        <f t="shared" si="84"/>
        <v>0</v>
      </c>
      <c r="AL285" s="169"/>
      <c r="AM285" s="169"/>
      <c r="AN285" s="169"/>
      <c r="AQ285" s="169"/>
      <c r="AW285" s="144">
        <f t="shared" si="85"/>
        <v>0</v>
      </c>
    </row>
    <row r="286" spans="1:49" ht="9.75" thickBot="1">
      <c r="A286" s="175"/>
      <c r="B286" s="176"/>
      <c r="C286" s="176"/>
      <c r="D286" s="170" t="str">
        <f t="shared" si="86"/>
        <v xml:space="preserve"> </v>
      </c>
      <c r="E286" s="178"/>
      <c r="F286" s="288">
        <v>0</v>
      </c>
      <c r="G286" s="178">
        <v>37</v>
      </c>
      <c r="H286" s="178">
        <v>37</v>
      </c>
      <c r="I286" s="178"/>
      <c r="J286" s="180"/>
      <c r="K286" s="178"/>
      <c r="L286" s="180"/>
      <c r="M286" s="180"/>
      <c r="N286" s="178"/>
      <c r="O286" s="178"/>
      <c r="P286" s="178"/>
      <c r="Q286" s="171">
        <f>AS286</f>
        <v>0</v>
      </c>
      <c r="R286" s="171">
        <f>AT286</f>
        <v>0</v>
      </c>
      <c r="S286" s="172">
        <f>AU286</f>
        <v>0</v>
      </c>
      <c r="U286" s="144">
        <f>IF(OR(C285=5,C286=5),0,1)</f>
        <v>1</v>
      </c>
      <c r="V286" s="144">
        <f t="shared" si="77"/>
        <v>0</v>
      </c>
      <c r="W286" s="144">
        <f t="shared" si="78"/>
        <v>0</v>
      </c>
      <c r="X286" s="144">
        <f t="shared" si="69"/>
        <v>0</v>
      </c>
      <c r="Y286" s="144">
        <f t="shared" si="79"/>
        <v>31.779800000000002</v>
      </c>
      <c r="Z286" s="169">
        <f t="shared" si="71"/>
        <v>0</v>
      </c>
      <c r="AA286" s="274">
        <f t="shared" si="72"/>
        <v>0</v>
      </c>
      <c r="AB286" s="169">
        <f t="shared" si="80"/>
        <v>0</v>
      </c>
      <c r="AC286" s="274">
        <f t="shared" si="73"/>
        <v>0</v>
      </c>
      <c r="AD286" s="169">
        <f t="shared" si="74"/>
        <v>0</v>
      </c>
      <c r="AE286" s="274">
        <f t="shared" si="75"/>
        <v>0</v>
      </c>
      <c r="AF286" s="169">
        <f t="shared" si="81"/>
        <v>0</v>
      </c>
      <c r="AG286" s="274">
        <f t="shared" si="76"/>
        <v>0</v>
      </c>
      <c r="AH286" s="169">
        <f t="shared" si="82"/>
        <v>0</v>
      </c>
      <c r="AI286" s="169"/>
      <c r="AJ286" s="169">
        <f t="shared" si="83"/>
        <v>0</v>
      </c>
      <c r="AK286" s="169">
        <f t="shared" si="84"/>
        <v>0</v>
      </c>
      <c r="AL286" s="169"/>
      <c r="AM286" s="169">
        <f>AK285*W285+AK286*W286</f>
        <v>0</v>
      </c>
      <c r="AN286" s="169">
        <f>(SUM(AD285:AG285)*W285+SUM(AD286:AG286)*W286)*12*VLOOKUP(C286,JNovergang,3,1)</f>
        <v>0</v>
      </c>
      <c r="AO286" s="169">
        <f>AM286-AN286</f>
        <v>0</v>
      </c>
      <c r="AP286" s="169">
        <f>M286*(100+X286)%</f>
        <v>0</v>
      </c>
      <c r="AQ286" s="274">
        <f>ROUND(M286*F286,2)</f>
        <v>0</v>
      </c>
      <c r="AS286" s="274">
        <f>ROUND((AP286+AQ286)+AM286*(N286/12),0)</f>
        <v>0</v>
      </c>
      <c r="AT286" s="274">
        <f>ROUND(AM286*(O286/12),0)</f>
        <v>0</v>
      </c>
      <c r="AU286" s="274">
        <f>ROUND(AM286*(P286/12)*U286,0)</f>
        <v>0</v>
      </c>
      <c r="AW286" s="144">
        <f t="shared" si="85"/>
        <v>0</v>
      </c>
    </row>
    <row r="287" spans="1:49">
      <c r="A287" s="173"/>
      <c r="B287" s="174"/>
      <c r="C287" s="174"/>
      <c r="D287" s="165" t="str">
        <f t="shared" si="86"/>
        <v xml:space="preserve"> </v>
      </c>
      <c r="E287" s="177"/>
      <c r="F287" s="287">
        <v>0</v>
      </c>
      <c r="G287" s="177">
        <v>37</v>
      </c>
      <c r="H287" s="177">
        <v>37</v>
      </c>
      <c r="I287" s="177"/>
      <c r="J287" s="179"/>
      <c r="K287" s="177"/>
      <c r="L287" s="179"/>
      <c r="M287" s="166"/>
      <c r="N287" s="166"/>
      <c r="O287" s="166"/>
      <c r="P287" s="166"/>
      <c r="Q287" s="167"/>
      <c r="R287" s="167"/>
      <c r="S287" s="168"/>
      <c r="V287" s="144">
        <f t="shared" si="77"/>
        <v>0</v>
      </c>
      <c r="W287" s="144">
        <f t="shared" si="78"/>
        <v>0</v>
      </c>
      <c r="X287" s="144">
        <f t="shared" si="69"/>
        <v>0</v>
      </c>
      <c r="Y287" s="144">
        <f t="shared" si="79"/>
        <v>31.779800000000002</v>
      </c>
      <c r="Z287" s="169">
        <f t="shared" si="71"/>
        <v>0</v>
      </c>
      <c r="AA287" s="274">
        <f t="shared" si="72"/>
        <v>0</v>
      </c>
      <c r="AB287" s="169">
        <f t="shared" si="80"/>
        <v>0</v>
      </c>
      <c r="AC287" s="274">
        <f t="shared" si="73"/>
        <v>0</v>
      </c>
      <c r="AD287" s="169">
        <f t="shared" si="74"/>
        <v>0</v>
      </c>
      <c r="AE287" s="274">
        <f t="shared" si="75"/>
        <v>0</v>
      </c>
      <c r="AF287" s="169">
        <f t="shared" si="81"/>
        <v>0</v>
      </c>
      <c r="AG287" s="274">
        <f t="shared" si="76"/>
        <v>0</v>
      </c>
      <c r="AH287" s="169">
        <f t="shared" si="82"/>
        <v>0</v>
      </c>
      <c r="AI287" s="169"/>
      <c r="AJ287" s="169">
        <f t="shared" si="83"/>
        <v>0</v>
      </c>
      <c r="AK287" s="169">
        <f t="shared" si="84"/>
        <v>0</v>
      </c>
      <c r="AL287" s="169"/>
      <c r="AM287" s="169"/>
      <c r="AN287" s="169"/>
      <c r="AQ287" s="169"/>
      <c r="AW287" s="144">
        <f t="shared" si="85"/>
        <v>0</v>
      </c>
    </row>
    <row r="288" spans="1:49" ht="9.75" thickBot="1">
      <c r="A288" s="175"/>
      <c r="B288" s="176"/>
      <c r="C288" s="176"/>
      <c r="D288" s="170" t="str">
        <f t="shared" si="86"/>
        <v xml:space="preserve"> </v>
      </c>
      <c r="E288" s="178"/>
      <c r="F288" s="288">
        <v>0</v>
      </c>
      <c r="G288" s="178">
        <v>37</v>
      </c>
      <c r="H288" s="178">
        <v>37</v>
      </c>
      <c r="I288" s="178"/>
      <c r="J288" s="180"/>
      <c r="K288" s="178"/>
      <c r="L288" s="180"/>
      <c r="M288" s="180"/>
      <c r="N288" s="178"/>
      <c r="O288" s="178"/>
      <c r="P288" s="178"/>
      <c r="Q288" s="171">
        <f>AS288</f>
        <v>0</v>
      </c>
      <c r="R288" s="171">
        <f>AT288</f>
        <v>0</v>
      </c>
      <c r="S288" s="172">
        <f>AU288</f>
        <v>0</v>
      </c>
      <c r="U288" s="144">
        <f>IF(OR(C287=5,C288=5),0,1)</f>
        <v>1</v>
      </c>
      <c r="V288" s="144">
        <f t="shared" si="77"/>
        <v>0</v>
      </c>
      <c r="W288" s="144">
        <f t="shared" si="78"/>
        <v>0</v>
      </c>
      <c r="X288" s="144">
        <f t="shared" si="69"/>
        <v>0</v>
      </c>
      <c r="Y288" s="144">
        <f t="shared" si="79"/>
        <v>31.779800000000002</v>
      </c>
      <c r="Z288" s="169">
        <f t="shared" si="71"/>
        <v>0</v>
      </c>
      <c r="AA288" s="274">
        <f t="shared" si="72"/>
        <v>0</v>
      </c>
      <c r="AB288" s="169">
        <f t="shared" si="80"/>
        <v>0</v>
      </c>
      <c r="AC288" s="274">
        <f t="shared" si="73"/>
        <v>0</v>
      </c>
      <c r="AD288" s="169">
        <f t="shared" si="74"/>
        <v>0</v>
      </c>
      <c r="AE288" s="274">
        <f t="shared" si="75"/>
        <v>0</v>
      </c>
      <c r="AF288" s="169">
        <f t="shared" si="81"/>
        <v>0</v>
      </c>
      <c r="AG288" s="274">
        <f t="shared" si="76"/>
        <v>0</v>
      </c>
      <c r="AH288" s="169">
        <f t="shared" si="82"/>
        <v>0</v>
      </c>
      <c r="AI288" s="169"/>
      <c r="AJ288" s="169">
        <f t="shared" si="83"/>
        <v>0</v>
      </c>
      <c r="AK288" s="169">
        <f t="shared" si="84"/>
        <v>0</v>
      </c>
      <c r="AL288" s="169"/>
      <c r="AM288" s="169">
        <f>AK287*W287+AK288*W288</f>
        <v>0</v>
      </c>
      <c r="AN288" s="169">
        <f>(SUM(AD287:AG287)*W287+SUM(AD288:AG288)*W288)*12*VLOOKUP(C288,JNovergang,3,1)</f>
        <v>0</v>
      </c>
      <c r="AO288" s="169">
        <f>AM288-AN288</f>
        <v>0</v>
      </c>
      <c r="AP288" s="169">
        <f>M288*(100+X288)%</f>
        <v>0</v>
      </c>
      <c r="AQ288" s="274">
        <f>ROUND(M288*F288,2)</f>
        <v>0</v>
      </c>
      <c r="AS288" s="274">
        <f>ROUND((AP288+AQ288)+AM288*(N288/12),0)</f>
        <v>0</v>
      </c>
      <c r="AT288" s="274">
        <f>ROUND(AM288*(O288/12),0)</f>
        <v>0</v>
      </c>
      <c r="AU288" s="274">
        <f>ROUND(AM288*(P288/12)*U288,0)</f>
        <v>0</v>
      </c>
      <c r="AW288" s="144">
        <f t="shared" si="85"/>
        <v>0</v>
      </c>
    </row>
    <row r="289" spans="1:49">
      <c r="A289" s="173"/>
      <c r="B289" s="174"/>
      <c r="C289" s="174"/>
      <c r="D289" s="165" t="str">
        <f t="shared" si="86"/>
        <v xml:space="preserve"> </v>
      </c>
      <c r="E289" s="177"/>
      <c r="F289" s="287">
        <v>0</v>
      </c>
      <c r="G289" s="177">
        <v>37</v>
      </c>
      <c r="H289" s="177">
        <v>37</v>
      </c>
      <c r="I289" s="177"/>
      <c r="J289" s="179"/>
      <c r="K289" s="177"/>
      <c r="L289" s="179"/>
      <c r="M289" s="166"/>
      <c r="N289" s="166"/>
      <c r="O289" s="166"/>
      <c r="P289" s="166"/>
      <c r="Q289" s="167"/>
      <c r="R289" s="167"/>
      <c r="S289" s="168"/>
      <c r="V289" s="144">
        <f t="shared" si="77"/>
        <v>0</v>
      </c>
      <c r="W289" s="144">
        <f t="shared" si="78"/>
        <v>0</v>
      </c>
      <c r="X289" s="144">
        <f t="shared" si="69"/>
        <v>0</v>
      </c>
      <c r="Y289" s="144">
        <f t="shared" si="79"/>
        <v>31.779800000000002</v>
      </c>
      <c r="Z289" s="169">
        <f t="shared" si="71"/>
        <v>0</v>
      </c>
      <c r="AA289" s="274">
        <f t="shared" si="72"/>
        <v>0</v>
      </c>
      <c r="AB289" s="169">
        <f t="shared" si="80"/>
        <v>0</v>
      </c>
      <c r="AC289" s="274">
        <f t="shared" si="73"/>
        <v>0</v>
      </c>
      <c r="AD289" s="169">
        <f t="shared" si="74"/>
        <v>0</v>
      </c>
      <c r="AE289" s="274">
        <f t="shared" si="75"/>
        <v>0</v>
      </c>
      <c r="AF289" s="169">
        <f t="shared" si="81"/>
        <v>0</v>
      </c>
      <c r="AG289" s="274">
        <f t="shared" si="76"/>
        <v>0</v>
      </c>
      <c r="AH289" s="169">
        <f t="shared" si="82"/>
        <v>0</v>
      </c>
      <c r="AI289" s="169"/>
      <c r="AJ289" s="169">
        <f t="shared" si="83"/>
        <v>0</v>
      </c>
      <c r="AK289" s="169">
        <f t="shared" si="84"/>
        <v>0</v>
      </c>
      <c r="AL289" s="169"/>
      <c r="AM289" s="169"/>
      <c r="AN289" s="169"/>
      <c r="AQ289" s="169"/>
      <c r="AW289" s="144">
        <f t="shared" si="85"/>
        <v>0</v>
      </c>
    </row>
    <row r="290" spans="1:49" ht="9.75" thickBot="1">
      <c r="A290" s="175"/>
      <c r="B290" s="176"/>
      <c r="C290" s="176"/>
      <c r="D290" s="170" t="str">
        <f t="shared" si="86"/>
        <v xml:space="preserve"> </v>
      </c>
      <c r="E290" s="178"/>
      <c r="F290" s="288">
        <v>0</v>
      </c>
      <c r="G290" s="178">
        <v>37</v>
      </c>
      <c r="H290" s="178">
        <v>37</v>
      </c>
      <c r="I290" s="178"/>
      <c r="J290" s="180"/>
      <c r="K290" s="178"/>
      <c r="L290" s="180"/>
      <c r="M290" s="180"/>
      <c r="N290" s="178"/>
      <c r="O290" s="178"/>
      <c r="P290" s="178"/>
      <c r="Q290" s="171">
        <f>AS290</f>
        <v>0</v>
      </c>
      <c r="R290" s="171">
        <f>AT290</f>
        <v>0</v>
      </c>
      <c r="S290" s="172">
        <f>AU290</f>
        <v>0</v>
      </c>
      <c r="U290" s="144">
        <f>IF(OR(C289=5,C290=5),0,1)</f>
        <v>1</v>
      </c>
      <c r="V290" s="144">
        <f t="shared" si="77"/>
        <v>0</v>
      </c>
      <c r="W290" s="144">
        <f t="shared" si="78"/>
        <v>0</v>
      </c>
      <c r="X290" s="144">
        <f t="shared" si="69"/>
        <v>0</v>
      </c>
      <c r="Y290" s="144">
        <f t="shared" si="79"/>
        <v>31.779800000000002</v>
      </c>
      <c r="Z290" s="169">
        <f t="shared" si="71"/>
        <v>0</v>
      </c>
      <c r="AA290" s="274">
        <f t="shared" si="72"/>
        <v>0</v>
      </c>
      <c r="AB290" s="169">
        <f t="shared" si="80"/>
        <v>0</v>
      </c>
      <c r="AC290" s="274">
        <f t="shared" si="73"/>
        <v>0</v>
      </c>
      <c r="AD290" s="169">
        <f t="shared" si="74"/>
        <v>0</v>
      </c>
      <c r="AE290" s="274">
        <f t="shared" si="75"/>
        <v>0</v>
      </c>
      <c r="AF290" s="169">
        <f t="shared" si="81"/>
        <v>0</v>
      </c>
      <c r="AG290" s="274">
        <f t="shared" si="76"/>
        <v>0</v>
      </c>
      <c r="AH290" s="169">
        <f t="shared" si="82"/>
        <v>0</v>
      </c>
      <c r="AI290" s="169"/>
      <c r="AJ290" s="169">
        <f t="shared" si="83"/>
        <v>0</v>
      </c>
      <c r="AK290" s="169">
        <f t="shared" si="84"/>
        <v>0</v>
      </c>
      <c r="AL290" s="169"/>
      <c r="AM290" s="169">
        <f>AK289*W289+AK290*W290</f>
        <v>0</v>
      </c>
      <c r="AN290" s="169">
        <f>(SUM(AD289:AG289)*W289+SUM(AD290:AG290)*W290)*12*VLOOKUP(C290,JNovergang,3,1)</f>
        <v>0</v>
      </c>
      <c r="AO290" s="169">
        <f>AM290-AN290</f>
        <v>0</v>
      </c>
      <c r="AP290" s="169">
        <f>M290*(100+X290)%</f>
        <v>0</v>
      </c>
      <c r="AQ290" s="274">
        <f>ROUND(M290*F290,2)</f>
        <v>0</v>
      </c>
      <c r="AS290" s="274">
        <f>ROUND((AP290+AQ290)+AM290*(N290/12),0)</f>
        <v>0</v>
      </c>
      <c r="AT290" s="274">
        <f>ROUND(AM290*(O290/12),0)</f>
        <v>0</v>
      </c>
      <c r="AU290" s="274">
        <f>ROUND(AM290*(P290/12)*U290,0)</f>
        <v>0</v>
      </c>
      <c r="AW290" s="144">
        <f t="shared" si="85"/>
        <v>0</v>
      </c>
    </row>
    <row r="291" spans="1:49">
      <c r="A291" s="173"/>
      <c r="B291" s="174"/>
      <c r="C291" s="174"/>
      <c r="D291" s="165" t="str">
        <f t="shared" si="86"/>
        <v xml:space="preserve"> </v>
      </c>
      <c r="E291" s="177"/>
      <c r="F291" s="287">
        <v>0</v>
      </c>
      <c r="G291" s="177">
        <v>37</v>
      </c>
      <c r="H291" s="177">
        <v>37</v>
      </c>
      <c r="I291" s="177"/>
      <c r="J291" s="179"/>
      <c r="K291" s="177"/>
      <c r="L291" s="179"/>
      <c r="M291" s="166"/>
      <c r="N291" s="166"/>
      <c r="O291" s="166"/>
      <c r="P291" s="166"/>
      <c r="Q291" s="167"/>
      <c r="R291" s="167"/>
      <c r="S291" s="168"/>
      <c r="V291" s="144">
        <f t="shared" si="77"/>
        <v>0</v>
      </c>
      <c r="W291" s="144">
        <f t="shared" si="78"/>
        <v>0</v>
      </c>
      <c r="X291" s="144">
        <f t="shared" si="69"/>
        <v>0</v>
      </c>
      <c r="Y291" s="144">
        <f t="shared" si="79"/>
        <v>31.779800000000002</v>
      </c>
      <c r="Z291" s="169">
        <f t="shared" si="71"/>
        <v>0</v>
      </c>
      <c r="AA291" s="274">
        <f t="shared" si="72"/>
        <v>0</v>
      </c>
      <c r="AB291" s="169">
        <f t="shared" si="80"/>
        <v>0</v>
      </c>
      <c r="AC291" s="274">
        <f t="shared" si="73"/>
        <v>0</v>
      </c>
      <c r="AD291" s="169">
        <f t="shared" si="74"/>
        <v>0</v>
      </c>
      <c r="AE291" s="274">
        <f t="shared" si="75"/>
        <v>0</v>
      </c>
      <c r="AF291" s="169">
        <f t="shared" si="81"/>
        <v>0</v>
      </c>
      <c r="AG291" s="274">
        <f t="shared" si="76"/>
        <v>0</v>
      </c>
      <c r="AH291" s="169">
        <f t="shared" si="82"/>
        <v>0</v>
      </c>
      <c r="AI291" s="169"/>
      <c r="AJ291" s="169">
        <f t="shared" si="83"/>
        <v>0</v>
      </c>
      <c r="AK291" s="169">
        <f t="shared" si="84"/>
        <v>0</v>
      </c>
      <c r="AL291" s="169"/>
      <c r="AM291" s="169"/>
      <c r="AN291" s="169"/>
      <c r="AQ291" s="169"/>
      <c r="AW291" s="144">
        <f t="shared" si="85"/>
        <v>0</v>
      </c>
    </row>
    <row r="292" spans="1:49" ht="9.75" thickBot="1">
      <c r="A292" s="175"/>
      <c r="B292" s="176"/>
      <c r="C292" s="176"/>
      <c r="D292" s="170" t="str">
        <f t="shared" si="86"/>
        <v xml:space="preserve"> </v>
      </c>
      <c r="E292" s="178"/>
      <c r="F292" s="288">
        <v>0</v>
      </c>
      <c r="G292" s="178">
        <v>37</v>
      </c>
      <c r="H292" s="178">
        <v>37</v>
      </c>
      <c r="I292" s="178"/>
      <c r="J292" s="180"/>
      <c r="K292" s="178"/>
      <c r="L292" s="180"/>
      <c r="M292" s="180"/>
      <c r="N292" s="178"/>
      <c r="O292" s="178"/>
      <c r="P292" s="178"/>
      <c r="Q292" s="171">
        <f>AS292</f>
        <v>0</v>
      </c>
      <c r="R292" s="171">
        <f>AT292</f>
        <v>0</v>
      </c>
      <c r="S292" s="172">
        <f>AU292</f>
        <v>0</v>
      </c>
      <c r="U292" s="144">
        <f>IF(OR(C291=5,C292=5),0,1)</f>
        <v>1</v>
      </c>
      <c r="V292" s="144">
        <f t="shared" si="77"/>
        <v>0</v>
      </c>
      <c r="W292" s="144">
        <f t="shared" si="78"/>
        <v>0</v>
      </c>
      <c r="X292" s="144">
        <f t="shared" si="69"/>
        <v>0</v>
      </c>
      <c r="Y292" s="144">
        <f t="shared" si="79"/>
        <v>31.779800000000002</v>
      </c>
      <c r="Z292" s="169">
        <f t="shared" si="71"/>
        <v>0</v>
      </c>
      <c r="AA292" s="274">
        <f t="shared" si="72"/>
        <v>0</v>
      </c>
      <c r="AB292" s="169">
        <f t="shared" si="80"/>
        <v>0</v>
      </c>
      <c r="AC292" s="274">
        <f t="shared" si="73"/>
        <v>0</v>
      </c>
      <c r="AD292" s="169">
        <f t="shared" si="74"/>
        <v>0</v>
      </c>
      <c r="AE292" s="274">
        <f t="shared" si="75"/>
        <v>0</v>
      </c>
      <c r="AF292" s="169">
        <f t="shared" si="81"/>
        <v>0</v>
      </c>
      <c r="AG292" s="274">
        <f t="shared" si="76"/>
        <v>0</v>
      </c>
      <c r="AH292" s="169">
        <f t="shared" si="82"/>
        <v>0</v>
      </c>
      <c r="AI292" s="169"/>
      <c r="AJ292" s="169">
        <f t="shared" si="83"/>
        <v>0</v>
      </c>
      <c r="AK292" s="169">
        <f t="shared" si="84"/>
        <v>0</v>
      </c>
      <c r="AL292" s="169"/>
      <c r="AM292" s="169">
        <f>AK291*W291+AK292*W292</f>
        <v>0</v>
      </c>
      <c r="AN292" s="169">
        <f>(SUM(AD291:AG291)*W291+SUM(AD292:AG292)*W292)*12*VLOOKUP(C292,JNovergang,3,1)</f>
        <v>0</v>
      </c>
      <c r="AO292" s="169">
        <f>AM292-AN292</f>
        <v>0</v>
      </c>
      <c r="AP292" s="169">
        <f>M292*(100+X292)%</f>
        <v>0</v>
      </c>
      <c r="AQ292" s="274">
        <f>ROUND(M292*F292,2)</f>
        <v>0</v>
      </c>
      <c r="AS292" s="274">
        <f>ROUND((AP292+AQ292)+AM292*(N292/12),0)</f>
        <v>0</v>
      </c>
      <c r="AT292" s="274">
        <f>ROUND(AM292*(O292/12),0)</f>
        <v>0</v>
      </c>
      <c r="AU292" s="274">
        <f>ROUND(AM292*(P292/12)*U292,0)</f>
        <v>0</v>
      </c>
      <c r="AW292" s="144">
        <f t="shared" si="85"/>
        <v>0</v>
      </c>
    </row>
    <row r="293" spans="1:49">
      <c r="A293" s="173"/>
      <c r="B293" s="174"/>
      <c r="C293" s="174"/>
      <c r="D293" s="165" t="str">
        <f t="shared" si="86"/>
        <v xml:space="preserve"> </v>
      </c>
      <c r="E293" s="177"/>
      <c r="F293" s="287">
        <v>0</v>
      </c>
      <c r="G293" s="177">
        <v>37</v>
      </c>
      <c r="H293" s="177">
        <v>37</v>
      </c>
      <c r="I293" s="177"/>
      <c r="J293" s="179"/>
      <c r="K293" s="177"/>
      <c r="L293" s="179"/>
      <c r="M293" s="166"/>
      <c r="N293" s="166"/>
      <c r="O293" s="166"/>
      <c r="P293" s="166"/>
      <c r="Q293" s="167"/>
      <c r="R293" s="167"/>
      <c r="S293" s="168"/>
      <c r="V293" s="144">
        <f t="shared" si="77"/>
        <v>0</v>
      </c>
      <c r="W293" s="144">
        <f t="shared" si="78"/>
        <v>0</v>
      </c>
      <c r="X293" s="144">
        <f t="shared" si="69"/>
        <v>0</v>
      </c>
      <c r="Y293" s="144">
        <f t="shared" si="79"/>
        <v>31.779800000000002</v>
      </c>
      <c r="Z293" s="169">
        <f t="shared" si="71"/>
        <v>0</v>
      </c>
      <c r="AA293" s="274">
        <f t="shared" si="72"/>
        <v>0</v>
      </c>
      <c r="AB293" s="169">
        <f t="shared" si="80"/>
        <v>0</v>
      </c>
      <c r="AC293" s="274">
        <f t="shared" si="73"/>
        <v>0</v>
      </c>
      <c r="AD293" s="169">
        <f t="shared" si="74"/>
        <v>0</v>
      </c>
      <c r="AE293" s="274">
        <f t="shared" si="75"/>
        <v>0</v>
      </c>
      <c r="AF293" s="169">
        <f t="shared" si="81"/>
        <v>0</v>
      </c>
      <c r="AG293" s="274">
        <f t="shared" si="76"/>
        <v>0</v>
      </c>
      <c r="AH293" s="169">
        <f t="shared" si="82"/>
        <v>0</v>
      </c>
      <c r="AI293" s="169"/>
      <c r="AJ293" s="169">
        <f t="shared" si="83"/>
        <v>0</v>
      </c>
      <c r="AK293" s="169">
        <f t="shared" si="84"/>
        <v>0</v>
      </c>
      <c r="AL293" s="169"/>
      <c r="AM293" s="169"/>
      <c r="AN293" s="169"/>
      <c r="AQ293" s="169"/>
      <c r="AW293" s="144">
        <f t="shared" si="85"/>
        <v>0</v>
      </c>
    </row>
    <row r="294" spans="1:49" ht="9.75" thickBot="1">
      <c r="A294" s="175"/>
      <c r="B294" s="176"/>
      <c r="C294" s="176"/>
      <c r="D294" s="170" t="str">
        <f t="shared" si="86"/>
        <v xml:space="preserve"> </v>
      </c>
      <c r="E294" s="178"/>
      <c r="F294" s="288">
        <v>0</v>
      </c>
      <c r="G294" s="178">
        <v>37</v>
      </c>
      <c r="H294" s="178">
        <v>37</v>
      </c>
      <c r="I294" s="178"/>
      <c r="J294" s="180"/>
      <c r="K294" s="178"/>
      <c r="L294" s="180"/>
      <c r="M294" s="180"/>
      <c r="N294" s="178"/>
      <c r="O294" s="178"/>
      <c r="P294" s="178"/>
      <c r="Q294" s="171">
        <f>AS294</f>
        <v>0</v>
      </c>
      <c r="R294" s="171">
        <f>AT294</f>
        <v>0</v>
      </c>
      <c r="S294" s="172">
        <f>AU294</f>
        <v>0</v>
      </c>
      <c r="U294" s="144">
        <f>IF(OR(C293=5,C294=5),0,1)</f>
        <v>1</v>
      </c>
      <c r="V294" s="144">
        <f t="shared" si="77"/>
        <v>0</v>
      </c>
      <c r="W294" s="144">
        <f t="shared" si="78"/>
        <v>0</v>
      </c>
      <c r="X294" s="144">
        <f t="shared" si="69"/>
        <v>0</v>
      </c>
      <c r="Y294" s="144">
        <f t="shared" si="79"/>
        <v>31.779800000000002</v>
      </c>
      <c r="Z294" s="169">
        <f t="shared" si="71"/>
        <v>0</v>
      </c>
      <c r="AA294" s="274">
        <f t="shared" si="72"/>
        <v>0</v>
      </c>
      <c r="AB294" s="169">
        <f t="shared" si="80"/>
        <v>0</v>
      </c>
      <c r="AC294" s="274">
        <f t="shared" si="73"/>
        <v>0</v>
      </c>
      <c r="AD294" s="169">
        <f t="shared" si="74"/>
        <v>0</v>
      </c>
      <c r="AE294" s="274">
        <f t="shared" si="75"/>
        <v>0</v>
      </c>
      <c r="AF294" s="169">
        <f t="shared" si="81"/>
        <v>0</v>
      </c>
      <c r="AG294" s="274">
        <f t="shared" si="76"/>
        <v>0</v>
      </c>
      <c r="AH294" s="169">
        <f t="shared" si="82"/>
        <v>0</v>
      </c>
      <c r="AI294" s="169"/>
      <c r="AJ294" s="169">
        <f t="shared" si="83"/>
        <v>0</v>
      </c>
      <c r="AK294" s="169">
        <f t="shared" si="84"/>
        <v>0</v>
      </c>
      <c r="AL294" s="169"/>
      <c r="AM294" s="169">
        <f>AK293*W293+AK294*W294</f>
        <v>0</v>
      </c>
      <c r="AN294" s="169">
        <f>(SUM(AD293:AG293)*W293+SUM(AD294:AG294)*W294)*12*VLOOKUP(C294,JNovergang,3,1)</f>
        <v>0</v>
      </c>
      <c r="AO294" s="169">
        <f>AM294-AN294</f>
        <v>0</v>
      </c>
      <c r="AP294" s="169">
        <f>M294*(100+X294)%</f>
        <v>0</v>
      </c>
      <c r="AQ294" s="274">
        <f>ROUND(M294*F294,2)</f>
        <v>0</v>
      </c>
      <c r="AS294" s="274">
        <f>ROUND((AP294+AQ294)+AM294*(N294/12),0)</f>
        <v>0</v>
      </c>
      <c r="AT294" s="274">
        <f>ROUND(AM294*(O294/12),0)</f>
        <v>0</v>
      </c>
      <c r="AU294" s="274">
        <f>ROUND(AM294*(P294/12)*U294,0)</f>
        <v>0</v>
      </c>
      <c r="AW294" s="144">
        <f t="shared" si="85"/>
        <v>0</v>
      </c>
    </row>
    <row r="295" spans="1:49">
      <c r="A295" s="173"/>
      <c r="B295" s="174"/>
      <c r="C295" s="174"/>
      <c r="D295" s="165" t="str">
        <f t="shared" si="86"/>
        <v xml:space="preserve"> </v>
      </c>
      <c r="E295" s="177"/>
      <c r="F295" s="287">
        <v>0</v>
      </c>
      <c r="G295" s="177">
        <v>37</v>
      </c>
      <c r="H295" s="177">
        <v>37</v>
      </c>
      <c r="I295" s="177"/>
      <c r="J295" s="179"/>
      <c r="K295" s="177"/>
      <c r="L295" s="179"/>
      <c r="M295" s="166"/>
      <c r="N295" s="166"/>
      <c r="O295" s="166"/>
      <c r="P295" s="166"/>
      <c r="Q295" s="167"/>
      <c r="R295" s="167"/>
      <c r="S295" s="168"/>
      <c r="V295" s="144">
        <f t="shared" si="77"/>
        <v>0</v>
      </c>
      <c r="W295" s="144">
        <f t="shared" si="78"/>
        <v>0</v>
      </c>
      <c r="X295" s="144">
        <f t="shared" si="69"/>
        <v>0</v>
      </c>
      <c r="Y295" s="144">
        <f t="shared" si="79"/>
        <v>31.779800000000002</v>
      </c>
      <c r="Z295" s="169">
        <f t="shared" si="71"/>
        <v>0</v>
      </c>
      <c r="AA295" s="274">
        <f t="shared" si="72"/>
        <v>0</v>
      </c>
      <c r="AB295" s="169">
        <f t="shared" si="80"/>
        <v>0</v>
      </c>
      <c r="AC295" s="274">
        <f t="shared" si="73"/>
        <v>0</v>
      </c>
      <c r="AD295" s="169">
        <f t="shared" si="74"/>
        <v>0</v>
      </c>
      <c r="AE295" s="274">
        <f t="shared" si="75"/>
        <v>0</v>
      </c>
      <c r="AF295" s="169">
        <f t="shared" si="81"/>
        <v>0</v>
      </c>
      <c r="AG295" s="274">
        <f t="shared" si="76"/>
        <v>0</v>
      </c>
      <c r="AH295" s="169">
        <f t="shared" si="82"/>
        <v>0</v>
      </c>
      <c r="AI295" s="169"/>
      <c r="AJ295" s="169">
        <f t="shared" si="83"/>
        <v>0</v>
      </c>
      <c r="AK295" s="169">
        <f t="shared" si="84"/>
        <v>0</v>
      </c>
      <c r="AL295" s="169"/>
      <c r="AM295" s="169"/>
      <c r="AN295" s="169"/>
      <c r="AQ295" s="169"/>
      <c r="AW295" s="144">
        <f t="shared" si="85"/>
        <v>0</v>
      </c>
    </row>
    <row r="296" spans="1:49" ht="9.75" thickBot="1">
      <c r="A296" s="175"/>
      <c r="B296" s="176"/>
      <c r="C296" s="176"/>
      <c r="D296" s="170" t="str">
        <f t="shared" si="86"/>
        <v xml:space="preserve"> </v>
      </c>
      <c r="E296" s="178"/>
      <c r="F296" s="288">
        <v>0</v>
      </c>
      <c r="G296" s="178">
        <v>37</v>
      </c>
      <c r="H296" s="178">
        <v>37</v>
      </c>
      <c r="I296" s="178"/>
      <c r="J296" s="180"/>
      <c r="K296" s="178"/>
      <c r="L296" s="180"/>
      <c r="M296" s="180"/>
      <c r="N296" s="178"/>
      <c r="O296" s="178"/>
      <c r="P296" s="178"/>
      <c r="Q296" s="171">
        <f>AS296</f>
        <v>0</v>
      </c>
      <c r="R296" s="171">
        <f>AT296</f>
        <v>0</v>
      </c>
      <c r="S296" s="172">
        <f>AU296</f>
        <v>0</v>
      </c>
      <c r="U296" s="144">
        <f>IF(OR(C295=5,C296=5),0,1)</f>
        <v>1</v>
      </c>
      <c r="V296" s="144">
        <f t="shared" si="77"/>
        <v>0</v>
      </c>
      <c r="W296" s="144">
        <f t="shared" si="78"/>
        <v>0</v>
      </c>
      <c r="X296" s="144">
        <f t="shared" si="69"/>
        <v>0</v>
      </c>
      <c r="Y296" s="144">
        <f t="shared" si="79"/>
        <v>31.779800000000002</v>
      </c>
      <c r="Z296" s="169">
        <f t="shared" si="71"/>
        <v>0</v>
      </c>
      <c r="AA296" s="274">
        <f t="shared" si="72"/>
        <v>0</v>
      </c>
      <c r="AB296" s="169">
        <f t="shared" si="80"/>
        <v>0</v>
      </c>
      <c r="AC296" s="274">
        <f t="shared" si="73"/>
        <v>0</v>
      </c>
      <c r="AD296" s="169">
        <f t="shared" si="74"/>
        <v>0</v>
      </c>
      <c r="AE296" s="274">
        <f t="shared" si="75"/>
        <v>0</v>
      </c>
      <c r="AF296" s="169">
        <f t="shared" si="81"/>
        <v>0</v>
      </c>
      <c r="AG296" s="274">
        <f t="shared" si="76"/>
        <v>0</v>
      </c>
      <c r="AH296" s="169">
        <f t="shared" si="82"/>
        <v>0</v>
      </c>
      <c r="AI296" s="169"/>
      <c r="AJ296" s="169">
        <f t="shared" si="83"/>
        <v>0</v>
      </c>
      <c r="AK296" s="169">
        <f t="shared" si="84"/>
        <v>0</v>
      </c>
      <c r="AL296" s="169"/>
      <c r="AM296" s="169">
        <f>AK295*W295+AK296*W296</f>
        <v>0</v>
      </c>
      <c r="AN296" s="169">
        <f>(SUM(AD295:AG295)*W295+SUM(AD296:AG296)*W296)*12*VLOOKUP(C296,JNovergang,3,1)</f>
        <v>0</v>
      </c>
      <c r="AO296" s="169">
        <f>AM296-AN296</f>
        <v>0</v>
      </c>
      <c r="AP296" s="169">
        <f>M296*(100+X296)%</f>
        <v>0</v>
      </c>
      <c r="AQ296" s="274">
        <f>ROUND(M296*F296,2)</f>
        <v>0</v>
      </c>
      <c r="AS296" s="274">
        <f>ROUND((AP296+AQ296)+AM296*(N296/12),0)</f>
        <v>0</v>
      </c>
      <c r="AT296" s="274">
        <f>ROUND(AM296*(O296/12),0)</f>
        <v>0</v>
      </c>
      <c r="AU296" s="274">
        <f>ROUND(AM296*(P296/12)*U296,0)</f>
        <v>0</v>
      </c>
      <c r="AW296" s="144">
        <f t="shared" si="85"/>
        <v>0</v>
      </c>
    </row>
    <row r="297" spans="1:49">
      <c r="A297" s="173"/>
      <c r="B297" s="174"/>
      <c r="C297" s="174"/>
      <c r="D297" s="165" t="str">
        <f t="shared" si="86"/>
        <v xml:space="preserve"> </v>
      </c>
      <c r="E297" s="177"/>
      <c r="F297" s="287">
        <v>0</v>
      </c>
      <c r="G297" s="177">
        <v>37</v>
      </c>
      <c r="H297" s="177">
        <v>37</v>
      </c>
      <c r="I297" s="177"/>
      <c r="J297" s="179"/>
      <c r="K297" s="177"/>
      <c r="L297" s="179"/>
      <c r="M297" s="166"/>
      <c r="N297" s="166"/>
      <c r="O297" s="166"/>
      <c r="P297" s="166"/>
      <c r="Q297" s="167"/>
      <c r="R297" s="167"/>
      <c r="S297" s="168"/>
      <c r="V297" s="144">
        <f t="shared" si="77"/>
        <v>0</v>
      </c>
      <c r="W297" s="144">
        <f t="shared" si="78"/>
        <v>0</v>
      </c>
      <c r="X297" s="144">
        <f t="shared" si="69"/>
        <v>0</v>
      </c>
      <c r="Y297" s="144">
        <f t="shared" si="79"/>
        <v>31.779800000000002</v>
      </c>
      <c r="Z297" s="169">
        <f t="shared" si="71"/>
        <v>0</v>
      </c>
      <c r="AA297" s="274">
        <f t="shared" si="72"/>
        <v>0</v>
      </c>
      <c r="AB297" s="169">
        <f t="shared" si="80"/>
        <v>0</v>
      </c>
      <c r="AC297" s="274">
        <f t="shared" si="73"/>
        <v>0</v>
      </c>
      <c r="AD297" s="169">
        <f t="shared" si="74"/>
        <v>0</v>
      </c>
      <c r="AE297" s="274">
        <f t="shared" si="75"/>
        <v>0</v>
      </c>
      <c r="AF297" s="169">
        <f t="shared" si="81"/>
        <v>0</v>
      </c>
      <c r="AG297" s="274">
        <f t="shared" si="76"/>
        <v>0</v>
      </c>
      <c r="AH297" s="169">
        <f t="shared" si="82"/>
        <v>0</v>
      </c>
      <c r="AI297" s="169"/>
      <c r="AJ297" s="169">
        <f t="shared" si="83"/>
        <v>0</v>
      </c>
      <c r="AK297" s="169">
        <f t="shared" si="84"/>
        <v>0</v>
      </c>
      <c r="AL297" s="169"/>
      <c r="AM297" s="169"/>
      <c r="AN297" s="169"/>
      <c r="AQ297" s="169"/>
      <c r="AW297" s="144">
        <f t="shared" si="85"/>
        <v>0</v>
      </c>
    </row>
    <row r="298" spans="1:49" ht="9.75" thickBot="1">
      <c r="A298" s="175"/>
      <c r="B298" s="176"/>
      <c r="C298" s="176"/>
      <c r="D298" s="170" t="str">
        <f t="shared" si="86"/>
        <v xml:space="preserve"> </v>
      </c>
      <c r="E298" s="178"/>
      <c r="F298" s="288">
        <v>0</v>
      </c>
      <c r="G298" s="178">
        <v>37</v>
      </c>
      <c r="H298" s="178">
        <v>37</v>
      </c>
      <c r="I298" s="178"/>
      <c r="J298" s="180"/>
      <c r="K298" s="178"/>
      <c r="L298" s="180"/>
      <c r="M298" s="180"/>
      <c r="N298" s="178"/>
      <c r="O298" s="178"/>
      <c r="P298" s="178"/>
      <c r="Q298" s="171">
        <f>AS298</f>
        <v>0</v>
      </c>
      <c r="R298" s="171">
        <f>AT298</f>
        <v>0</v>
      </c>
      <c r="S298" s="172">
        <f>AU298</f>
        <v>0</v>
      </c>
      <c r="U298" s="144">
        <f>IF(OR(C297=5,C298=5),0,1)</f>
        <v>1</v>
      </c>
      <c r="V298" s="144">
        <f t="shared" si="77"/>
        <v>0</v>
      </c>
      <c r="W298" s="144">
        <f t="shared" si="78"/>
        <v>0</v>
      </c>
      <c r="X298" s="144">
        <f t="shared" si="69"/>
        <v>0</v>
      </c>
      <c r="Y298" s="144">
        <f t="shared" si="79"/>
        <v>31.779800000000002</v>
      </c>
      <c r="Z298" s="169">
        <f t="shared" si="71"/>
        <v>0</v>
      </c>
      <c r="AA298" s="274">
        <f t="shared" si="72"/>
        <v>0</v>
      </c>
      <c r="AB298" s="169">
        <f t="shared" si="80"/>
        <v>0</v>
      </c>
      <c r="AC298" s="274">
        <f t="shared" si="73"/>
        <v>0</v>
      </c>
      <c r="AD298" s="169">
        <f t="shared" si="74"/>
        <v>0</v>
      </c>
      <c r="AE298" s="274">
        <f t="shared" si="75"/>
        <v>0</v>
      </c>
      <c r="AF298" s="169">
        <f t="shared" si="81"/>
        <v>0</v>
      </c>
      <c r="AG298" s="274">
        <f t="shared" si="76"/>
        <v>0</v>
      </c>
      <c r="AH298" s="169">
        <f t="shared" si="82"/>
        <v>0</v>
      </c>
      <c r="AI298" s="169"/>
      <c r="AJ298" s="169">
        <f t="shared" si="83"/>
        <v>0</v>
      </c>
      <c r="AK298" s="169">
        <f t="shared" si="84"/>
        <v>0</v>
      </c>
      <c r="AL298" s="169"/>
      <c r="AM298" s="169">
        <f>AK297*W297+AK298*W298</f>
        <v>0</v>
      </c>
      <c r="AN298" s="169">
        <f>(SUM(AD297:AG297)*W297+SUM(AD298:AG298)*W298)*12*VLOOKUP(C298,JNovergang,3,1)</f>
        <v>0</v>
      </c>
      <c r="AO298" s="169">
        <f>AM298-AN298</f>
        <v>0</v>
      </c>
      <c r="AP298" s="169">
        <f>M298*(100+X298)%</f>
        <v>0</v>
      </c>
      <c r="AQ298" s="274">
        <f>ROUND(M298*F298,2)</f>
        <v>0</v>
      </c>
      <c r="AS298" s="274">
        <f>ROUND((AP298+AQ298)+AM298*(N298/12),0)</f>
        <v>0</v>
      </c>
      <c r="AT298" s="274">
        <f>ROUND(AM298*(O298/12),0)</f>
        <v>0</v>
      </c>
      <c r="AU298" s="274">
        <f>ROUND(AM298*(P298/12)*U298,0)</f>
        <v>0</v>
      </c>
      <c r="AW298" s="144">
        <f t="shared" si="85"/>
        <v>0</v>
      </c>
    </row>
    <row r="299" spans="1:49">
      <c r="A299" s="173"/>
      <c r="B299" s="174"/>
      <c r="C299" s="174"/>
      <c r="D299" s="165" t="str">
        <f t="shared" si="86"/>
        <v xml:space="preserve"> </v>
      </c>
      <c r="E299" s="177"/>
      <c r="F299" s="287">
        <v>0</v>
      </c>
      <c r="G299" s="177">
        <v>37</v>
      </c>
      <c r="H299" s="177">
        <v>37</v>
      </c>
      <c r="I299" s="177"/>
      <c r="J299" s="179"/>
      <c r="K299" s="177"/>
      <c r="L299" s="179"/>
      <c r="M299" s="166"/>
      <c r="N299" s="166"/>
      <c r="O299" s="166"/>
      <c r="P299" s="166"/>
      <c r="Q299" s="167"/>
      <c r="R299" s="167"/>
      <c r="S299" s="168"/>
      <c r="V299" s="144">
        <f t="shared" si="77"/>
        <v>0</v>
      </c>
      <c r="W299" s="144">
        <f t="shared" si="78"/>
        <v>0</v>
      </c>
      <c r="X299" s="144">
        <f t="shared" si="69"/>
        <v>0</v>
      </c>
      <c r="Y299" s="144">
        <f t="shared" si="79"/>
        <v>31.779800000000002</v>
      </c>
      <c r="Z299" s="169">
        <f t="shared" si="71"/>
        <v>0</v>
      </c>
      <c r="AA299" s="274">
        <f t="shared" si="72"/>
        <v>0</v>
      </c>
      <c r="AB299" s="169">
        <f t="shared" si="80"/>
        <v>0</v>
      </c>
      <c r="AC299" s="274">
        <f t="shared" si="73"/>
        <v>0</v>
      </c>
      <c r="AD299" s="169">
        <f t="shared" si="74"/>
        <v>0</v>
      </c>
      <c r="AE299" s="274">
        <f t="shared" si="75"/>
        <v>0</v>
      </c>
      <c r="AF299" s="169">
        <f t="shared" si="81"/>
        <v>0</v>
      </c>
      <c r="AG299" s="274">
        <f t="shared" si="76"/>
        <v>0</v>
      </c>
      <c r="AH299" s="169">
        <f t="shared" si="82"/>
        <v>0</v>
      </c>
      <c r="AI299" s="169"/>
      <c r="AJ299" s="169">
        <f t="shared" si="83"/>
        <v>0</v>
      </c>
      <c r="AK299" s="169">
        <f t="shared" si="84"/>
        <v>0</v>
      </c>
      <c r="AL299" s="169"/>
      <c r="AM299" s="169"/>
      <c r="AN299" s="169"/>
      <c r="AQ299" s="169"/>
      <c r="AW299" s="144">
        <f t="shared" si="85"/>
        <v>0</v>
      </c>
    </row>
    <row r="300" spans="1:49" ht="9.75" thickBot="1">
      <c r="A300" s="175"/>
      <c r="B300" s="176"/>
      <c r="C300" s="176"/>
      <c r="D300" s="170" t="str">
        <f t="shared" si="86"/>
        <v xml:space="preserve"> </v>
      </c>
      <c r="E300" s="178"/>
      <c r="F300" s="288">
        <v>0</v>
      </c>
      <c r="G300" s="178">
        <v>37</v>
      </c>
      <c r="H300" s="178">
        <v>37</v>
      </c>
      <c r="I300" s="178"/>
      <c r="J300" s="180"/>
      <c r="K300" s="178"/>
      <c r="L300" s="180"/>
      <c r="M300" s="180"/>
      <c r="N300" s="178"/>
      <c r="O300" s="178"/>
      <c r="P300" s="178"/>
      <c r="Q300" s="171">
        <f>AS300</f>
        <v>0</v>
      </c>
      <c r="R300" s="171">
        <f>AT300</f>
        <v>0</v>
      </c>
      <c r="S300" s="172">
        <f>AU300</f>
        <v>0</v>
      </c>
      <c r="U300" s="144">
        <f>IF(OR(C299=5,C300=5),0,1)</f>
        <v>1</v>
      </c>
      <c r="V300" s="144">
        <f t="shared" si="77"/>
        <v>0</v>
      </c>
      <c r="W300" s="144">
        <f t="shared" si="78"/>
        <v>0</v>
      </c>
      <c r="X300" s="144">
        <f t="shared" si="69"/>
        <v>0</v>
      </c>
      <c r="Y300" s="144">
        <f t="shared" si="79"/>
        <v>31.779800000000002</v>
      </c>
      <c r="Z300" s="169">
        <f t="shared" si="71"/>
        <v>0</v>
      </c>
      <c r="AA300" s="274">
        <f t="shared" si="72"/>
        <v>0</v>
      </c>
      <c r="AB300" s="169">
        <f t="shared" si="80"/>
        <v>0</v>
      </c>
      <c r="AC300" s="274">
        <f t="shared" si="73"/>
        <v>0</v>
      </c>
      <c r="AD300" s="169">
        <f t="shared" si="74"/>
        <v>0</v>
      </c>
      <c r="AE300" s="274">
        <f t="shared" si="75"/>
        <v>0</v>
      </c>
      <c r="AF300" s="169">
        <f t="shared" si="81"/>
        <v>0</v>
      </c>
      <c r="AG300" s="274">
        <f t="shared" si="76"/>
        <v>0</v>
      </c>
      <c r="AH300" s="169">
        <f t="shared" si="82"/>
        <v>0</v>
      </c>
      <c r="AI300" s="169"/>
      <c r="AJ300" s="169">
        <f t="shared" si="83"/>
        <v>0</v>
      </c>
      <c r="AK300" s="169">
        <f t="shared" si="84"/>
        <v>0</v>
      </c>
      <c r="AL300" s="169"/>
      <c r="AM300" s="169">
        <f>AK299*W299+AK300*W300</f>
        <v>0</v>
      </c>
      <c r="AN300" s="169">
        <f>(SUM(AD299:AG299)*W299+SUM(AD300:AG300)*W300)*12*VLOOKUP(C300,JNovergang,3,1)</f>
        <v>0</v>
      </c>
      <c r="AO300" s="169">
        <f>AM300-AN300</f>
        <v>0</v>
      </c>
      <c r="AP300" s="169">
        <f>M300*(100+X300)%</f>
        <v>0</v>
      </c>
      <c r="AQ300" s="274">
        <f>ROUND(M300*F300,2)</f>
        <v>0</v>
      </c>
      <c r="AS300" s="274">
        <f>ROUND((AP300+AQ300)+AM300*(N300/12),0)</f>
        <v>0</v>
      </c>
      <c r="AT300" s="274">
        <f>ROUND(AM300*(O300/12),0)</f>
        <v>0</v>
      </c>
      <c r="AU300" s="274">
        <f>ROUND(AM300*(P300/12)*U300,0)</f>
        <v>0</v>
      </c>
      <c r="AW300" s="144">
        <f t="shared" si="85"/>
        <v>0</v>
      </c>
    </row>
    <row r="301" spans="1:49">
      <c r="A301" s="173"/>
      <c r="B301" s="174"/>
      <c r="C301" s="174"/>
      <c r="D301" s="165" t="str">
        <f t="shared" si="86"/>
        <v xml:space="preserve"> </v>
      </c>
      <c r="E301" s="177"/>
      <c r="F301" s="287">
        <v>0</v>
      </c>
      <c r="G301" s="177">
        <v>37</v>
      </c>
      <c r="H301" s="177">
        <v>37</v>
      </c>
      <c r="I301" s="177"/>
      <c r="J301" s="179"/>
      <c r="K301" s="177"/>
      <c r="L301" s="179"/>
      <c r="M301" s="166"/>
      <c r="N301" s="166"/>
      <c r="O301" s="166"/>
      <c r="P301" s="166"/>
      <c r="Q301" s="167"/>
      <c r="R301" s="167"/>
      <c r="S301" s="168"/>
      <c r="V301" s="144">
        <f t="shared" si="77"/>
        <v>0</v>
      </c>
      <c r="W301" s="144">
        <f t="shared" si="78"/>
        <v>0</v>
      </c>
      <c r="X301" s="144">
        <f t="shared" si="69"/>
        <v>0</v>
      </c>
      <c r="Y301" s="144">
        <f t="shared" si="79"/>
        <v>31.779800000000002</v>
      </c>
      <c r="Z301" s="169">
        <f t="shared" si="71"/>
        <v>0</v>
      </c>
      <c r="AA301" s="274">
        <f t="shared" si="72"/>
        <v>0</v>
      </c>
      <c r="AB301" s="169">
        <f t="shared" si="80"/>
        <v>0</v>
      </c>
      <c r="AC301" s="274">
        <f t="shared" si="73"/>
        <v>0</v>
      </c>
      <c r="AD301" s="169">
        <f t="shared" si="74"/>
        <v>0</v>
      </c>
      <c r="AE301" s="274">
        <f t="shared" si="75"/>
        <v>0</v>
      </c>
      <c r="AF301" s="169">
        <f t="shared" si="81"/>
        <v>0</v>
      </c>
      <c r="AG301" s="274">
        <f t="shared" si="76"/>
        <v>0</v>
      </c>
      <c r="AH301" s="169">
        <f t="shared" si="82"/>
        <v>0</v>
      </c>
      <c r="AI301" s="169"/>
      <c r="AJ301" s="169">
        <f t="shared" si="83"/>
        <v>0</v>
      </c>
      <c r="AK301" s="169">
        <f t="shared" si="84"/>
        <v>0</v>
      </c>
      <c r="AL301" s="169"/>
      <c r="AM301" s="169"/>
      <c r="AN301" s="169"/>
      <c r="AQ301" s="169"/>
      <c r="AW301" s="144">
        <f t="shared" si="85"/>
        <v>0</v>
      </c>
    </row>
    <row r="302" spans="1:49" ht="9.75" thickBot="1">
      <c r="A302" s="175"/>
      <c r="B302" s="176"/>
      <c r="C302" s="176"/>
      <c r="D302" s="170" t="str">
        <f t="shared" si="86"/>
        <v xml:space="preserve"> </v>
      </c>
      <c r="E302" s="178"/>
      <c r="F302" s="288">
        <v>0</v>
      </c>
      <c r="G302" s="178">
        <v>37</v>
      </c>
      <c r="H302" s="178">
        <v>37</v>
      </c>
      <c r="I302" s="178"/>
      <c r="J302" s="180"/>
      <c r="K302" s="178"/>
      <c r="L302" s="180"/>
      <c r="M302" s="180"/>
      <c r="N302" s="178"/>
      <c r="O302" s="178"/>
      <c r="P302" s="178"/>
      <c r="Q302" s="171">
        <f>AS302</f>
        <v>0</v>
      </c>
      <c r="R302" s="171">
        <f>AT302</f>
        <v>0</v>
      </c>
      <c r="S302" s="172">
        <f>AU302</f>
        <v>0</v>
      </c>
      <c r="U302" s="144">
        <f>IF(OR(C301=5,C302=5),0,1)</f>
        <v>1</v>
      </c>
      <c r="V302" s="144">
        <f t="shared" si="77"/>
        <v>0</v>
      </c>
      <c r="W302" s="144">
        <f t="shared" si="78"/>
        <v>0</v>
      </c>
      <c r="X302" s="144">
        <f t="shared" si="69"/>
        <v>0</v>
      </c>
      <c r="Y302" s="144">
        <f t="shared" si="79"/>
        <v>31.779800000000002</v>
      </c>
      <c r="Z302" s="169">
        <f t="shared" si="71"/>
        <v>0</v>
      </c>
      <c r="AA302" s="274">
        <f t="shared" si="72"/>
        <v>0</v>
      </c>
      <c r="AB302" s="169">
        <f t="shared" si="80"/>
        <v>0</v>
      </c>
      <c r="AC302" s="274">
        <f t="shared" si="73"/>
        <v>0</v>
      </c>
      <c r="AD302" s="169">
        <f t="shared" si="74"/>
        <v>0</v>
      </c>
      <c r="AE302" s="274">
        <f t="shared" si="75"/>
        <v>0</v>
      </c>
      <c r="AF302" s="169">
        <f t="shared" si="81"/>
        <v>0</v>
      </c>
      <c r="AG302" s="274">
        <f t="shared" si="76"/>
        <v>0</v>
      </c>
      <c r="AH302" s="169">
        <f t="shared" si="82"/>
        <v>0</v>
      </c>
      <c r="AI302" s="169"/>
      <c r="AJ302" s="169">
        <f t="shared" si="83"/>
        <v>0</v>
      </c>
      <c r="AK302" s="169">
        <f t="shared" si="84"/>
        <v>0</v>
      </c>
      <c r="AL302" s="169"/>
      <c r="AM302" s="169">
        <f>AK301*W301+AK302*W302</f>
        <v>0</v>
      </c>
      <c r="AN302" s="169">
        <f>(SUM(AD301:AG301)*W301+SUM(AD302:AG302)*W302)*12*VLOOKUP(C302,JNovergang,3,1)</f>
        <v>0</v>
      </c>
      <c r="AO302" s="169">
        <f>AM302-AN302</f>
        <v>0</v>
      </c>
      <c r="AP302" s="169">
        <f>M302*(100+X302)%</f>
        <v>0</v>
      </c>
      <c r="AQ302" s="274">
        <f>ROUND(M302*F302,2)</f>
        <v>0</v>
      </c>
      <c r="AS302" s="274">
        <f>ROUND((AP302+AQ302)+AM302*(N302/12),0)</f>
        <v>0</v>
      </c>
      <c r="AT302" s="274">
        <f>ROUND(AM302*(O302/12),0)</f>
        <v>0</v>
      </c>
      <c r="AU302" s="274">
        <f>ROUND(AM302*(P302/12)*U302,0)</f>
        <v>0</v>
      </c>
      <c r="AW302" s="144">
        <f t="shared" si="85"/>
        <v>0</v>
      </c>
    </row>
    <row r="303" spans="1:49">
      <c r="A303" s="173"/>
      <c r="B303" s="174"/>
      <c r="C303" s="174"/>
      <c r="D303" s="165" t="str">
        <f t="shared" si="86"/>
        <v xml:space="preserve"> </v>
      </c>
      <c r="E303" s="177"/>
      <c r="F303" s="287">
        <v>0</v>
      </c>
      <c r="G303" s="177">
        <v>37</v>
      </c>
      <c r="H303" s="177">
        <v>37</v>
      </c>
      <c r="I303" s="177"/>
      <c r="J303" s="179"/>
      <c r="K303" s="177"/>
      <c r="L303" s="179"/>
      <c r="M303" s="166"/>
      <c r="N303" s="166"/>
      <c r="O303" s="166"/>
      <c r="P303" s="166"/>
      <c r="Q303" s="167"/>
      <c r="R303" s="167"/>
      <c r="S303" s="168"/>
      <c r="V303" s="144">
        <f t="shared" si="77"/>
        <v>0</v>
      </c>
      <c r="W303" s="144">
        <f t="shared" si="78"/>
        <v>0</v>
      </c>
      <c r="X303" s="144">
        <f t="shared" si="69"/>
        <v>0</v>
      </c>
      <c r="Y303" s="144">
        <f t="shared" si="79"/>
        <v>31.779800000000002</v>
      </c>
      <c r="Z303" s="169">
        <f t="shared" si="71"/>
        <v>0</v>
      </c>
      <c r="AA303" s="274">
        <f t="shared" si="72"/>
        <v>0</v>
      </c>
      <c r="AB303" s="169">
        <f t="shared" si="80"/>
        <v>0</v>
      </c>
      <c r="AC303" s="274">
        <f t="shared" si="73"/>
        <v>0</v>
      </c>
      <c r="AD303" s="169">
        <f t="shared" si="74"/>
        <v>0</v>
      </c>
      <c r="AE303" s="274">
        <f t="shared" si="75"/>
        <v>0</v>
      </c>
      <c r="AF303" s="169">
        <f t="shared" si="81"/>
        <v>0</v>
      </c>
      <c r="AG303" s="274">
        <f t="shared" si="76"/>
        <v>0</v>
      </c>
      <c r="AH303" s="169">
        <f t="shared" si="82"/>
        <v>0</v>
      </c>
      <c r="AI303" s="169"/>
      <c r="AJ303" s="169">
        <f t="shared" si="83"/>
        <v>0</v>
      </c>
      <c r="AK303" s="169">
        <f t="shared" si="84"/>
        <v>0</v>
      </c>
      <c r="AL303" s="169"/>
      <c r="AM303" s="169"/>
      <c r="AN303" s="169"/>
      <c r="AQ303" s="169"/>
      <c r="AW303" s="144">
        <f t="shared" si="85"/>
        <v>0</v>
      </c>
    </row>
    <row r="304" spans="1:49" ht="9.75" thickBot="1">
      <c r="A304" s="175"/>
      <c r="B304" s="176"/>
      <c r="C304" s="176"/>
      <c r="D304" s="170" t="str">
        <f t="shared" si="86"/>
        <v xml:space="preserve"> </v>
      </c>
      <c r="E304" s="178"/>
      <c r="F304" s="288">
        <v>0</v>
      </c>
      <c r="G304" s="178">
        <v>37</v>
      </c>
      <c r="H304" s="178">
        <v>37</v>
      </c>
      <c r="I304" s="178"/>
      <c r="J304" s="180"/>
      <c r="K304" s="178"/>
      <c r="L304" s="180"/>
      <c r="M304" s="180"/>
      <c r="N304" s="178"/>
      <c r="O304" s="178"/>
      <c r="P304" s="178"/>
      <c r="Q304" s="171">
        <f>AS304</f>
        <v>0</v>
      </c>
      <c r="R304" s="171">
        <f>AT304</f>
        <v>0</v>
      </c>
      <c r="S304" s="172">
        <f>AU304</f>
        <v>0</v>
      </c>
      <c r="U304" s="144">
        <f>IF(OR(C303=5,C304=5),0,1)</f>
        <v>1</v>
      </c>
      <c r="V304" s="144">
        <f t="shared" si="77"/>
        <v>0</v>
      </c>
      <c r="W304" s="144">
        <f t="shared" si="78"/>
        <v>0</v>
      </c>
      <c r="X304" s="144">
        <f t="shared" si="69"/>
        <v>0</v>
      </c>
      <c r="Y304" s="144">
        <f t="shared" si="79"/>
        <v>31.779800000000002</v>
      </c>
      <c r="Z304" s="169">
        <f t="shared" si="71"/>
        <v>0</v>
      </c>
      <c r="AA304" s="274">
        <f t="shared" si="72"/>
        <v>0</v>
      </c>
      <c r="AB304" s="169">
        <f t="shared" si="80"/>
        <v>0</v>
      </c>
      <c r="AC304" s="274">
        <f t="shared" si="73"/>
        <v>0</v>
      </c>
      <c r="AD304" s="169">
        <f t="shared" si="74"/>
        <v>0</v>
      </c>
      <c r="AE304" s="274">
        <f t="shared" si="75"/>
        <v>0</v>
      </c>
      <c r="AF304" s="169">
        <f t="shared" si="81"/>
        <v>0</v>
      </c>
      <c r="AG304" s="274">
        <f t="shared" si="76"/>
        <v>0</v>
      </c>
      <c r="AH304" s="169">
        <f t="shared" si="82"/>
        <v>0</v>
      </c>
      <c r="AI304" s="169"/>
      <c r="AJ304" s="169">
        <f t="shared" si="83"/>
        <v>0</v>
      </c>
      <c r="AK304" s="169">
        <f t="shared" si="84"/>
        <v>0</v>
      </c>
      <c r="AL304" s="169"/>
      <c r="AM304" s="169">
        <f>AK303*W303+AK304*W304</f>
        <v>0</v>
      </c>
      <c r="AN304" s="169">
        <f>(SUM(AD303:AG303)*W303+SUM(AD304:AG304)*W304)*12*VLOOKUP(C304,JNovergang,3,1)</f>
        <v>0</v>
      </c>
      <c r="AO304" s="169">
        <f>AM304-AN304</f>
        <v>0</v>
      </c>
      <c r="AP304" s="169">
        <f>M304*(100+X304)%</f>
        <v>0</v>
      </c>
      <c r="AQ304" s="274">
        <f>ROUND(M304*F304,2)</f>
        <v>0</v>
      </c>
      <c r="AS304" s="274">
        <f>ROUND((AP304+AQ304)+AM304*(N304/12),0)</f>
        <v>0</v>
      </c>
      <c r="AT304" s="274">
        <f>ROUND(AM304*(O304/12),0)</f>
        <v>0</v>
      </c>
      <c r="AU304" s="274">
        <f>ROUND(AM304*(P304/12)*U304,0)</f>
        <v>0</v>
      </c>
      <c r="AW304" s="144">
        <f t="shared" si="85"/>
        <v>0</v>
      </c>
    </row>
    <row r="305" spans="1:49">
      <c r="A305" s="173"/>
      <c r="B305" s="174"/>
      <c r="C305" s="174"/>
      <c r="D305" s="165" t="str">
        <f t="shared" si="86"/>
        <v xml:space="preserve"> </v>
      </c>
      <c r="E305" s="177"/>
      <c r="F305" s="287">
        <v>0</v>
      </c>
      <c r="G305" s="177">
        <v>37</v>
      </c>
      <c r="H305" s="177">
        <v>37</v>
      </c>
      <c r="I305" s="177"/>
      <c r="J305" s="179"/>
      <c r="K305" s="177"/>
      <c r="L305" s="179"/>
      <c r="M305" s="166"/>
      <c r="N305" s="166"/>
      <c r="O305" s="166"/>
      <c r="P305" s="166"/>
      <c r="Q305" s="167"/>
      <c r="R305" s="167"/>
      <c r="S305" s="168"/>
      <c r="V305" s="144">
        <f t="shared" si="77"/>
        <v>0</v>
      </c>
      <c r="W305" s="144">
        <f t="shared" si="78"/>
        <v>0</v>
      </c>
      <c r="X305" s="144">
        <f t="shared" si="69"/>
        <v>0</v>
      </c>
      <c r="Y305" s="144">
        <f t="shared" si="79"/>
        <v>31.779800000000002</v>
      </c>
      <c r="Z305" s="169">
        <f t="shared" si="71"/>
        <v>0</v>
      </c>
      <c r="AA305" s="274">
        <f t="shared" si="72"/>
        <v>0</v>
      </c>
      <c r="AB305" s="169">
        <f t="shared" si="80"/>
        <v>0</v>
      </c>
      <c r="AC305" s="274">
        <f t="shared" si="73"/>
        <v>0</v>
      </c>
      <c r="AD305" s="169">
        <f t="shared" si="74"/>
        <v>0</v>
      </c>
      <c r="AE305" s="274">
        <f t="shared" si="75"/>
        <v>0</v>
      </c>
      <c r="AF305" s="169">
        <f t="shared" si="81"/>
        <v>0</v>
      </c>
      <c r="AG305" s="274">
        <f t="shared" si="76"/>
        <v>0</v>
      </c>
      <c r="AH305" s="169">
        <f t="shared" si="82"/>
        <v>0</v>
      </c>
      <c r="AI305" s="169"/>
      <c r="AJ305" s="169">
        <f t="shared" si="83"/>
        <v>0</v>
      </c>
      <c r="AK305" s="169">
        <f t="shared" si="84"/>
        <v>0</v>
      </c>
      <c r="AL305" s="169"/>
      <c r="AM305" s="169"/>
      <c r="AN305" s="169"/>
      <c r="AQ305" s="169"/>
      <c r="AW305" s="144">
        <f t="shared" si="85"/>
        <v>0</v>
      </c>
    </row>
    <row r="306" spans="1:49" ht="9.75" thickBot="1">
      <c r="A306" s="175"/>
      <c r="B306" s="176"/>
      <c r="C306" s="176"/>
      <c r="D306" s="170" t="str">
        <f t="shared" si="86"/>
        <v xml:space="preserve"> </v>
      </c>
      <c r="E306" s="178"/>
      <c r="F306" s="288">
        <v>0</v>
      </c>
      <c r="G306" s="178">
        <v>37</v>
      </c>
      <c r="H306" s="178">
        <v>37</v>
      </c>
      <c r="I306" s="178"/>
      <c r="J306" s="180"/>
      <c r="K306" s="178"/>
      <c r="L306" s="180"/>
      <c r="M306" s="180"/>
      <c r="N306" s="178"/>
      <c r="O306" s="178"/>
      <c r="P306" s="178"/>
      <c r="Q306" s="171">
        <f>AS306</f>
        <v>0</v>
      </c>
      <c r="R306" s="171">
        <f>AT306</f>
        <v>0</v>
      </c>
      <c r="S306" s="172">
        <f>AU306</f>
        <v>0</v>
      </c>
      <c r="U306" s="144">
        <f>IF(OR(C305=5,C306=5),0,1)</f>
        <v>1</v>
      </c>
      <c r="V306" s="144">
        <f t="shared" si="77"/>
        <v>0</v>
      </c>
      <c r="W306" s="144">
        <f t="shared" si="78"/>
        <v>0</v>
      </c>
      <c r="X306" s="144">
        <f t="shared" si="69"/>
        <v>0</v>
      </c>
      <c r="Y306" s="144">
        <f t="shared" si="79"/>
        <v>31.779800000000002</v>
      </c>
      <c r="Z306" s="169">
        <f t="shared" si="71"/>
        <v>0</v>
      </c>
      <c r="AA306" s="274">
        <f t="shared" si="72"/>
        <v>0</v>
      </c>
      <c r="AB306" s="169">
        <f t="shared" si="80"/>
        <v>0</v>
      </c>
      <c r="AC306" s="274">
        <f t="shared" si="73"/>
        <v>0</v>
      </c>
      <c r="AD306" s="169">
        <f t="shared" si="74"/>
        <v>0</v>
      </c>
      <c r="AE306" s="274">
        <f t="shared" si="75"/>
        <v>0</v>
      </c>
      <c r="AF306" s="169">
        <f t="shared" si="81"/>
        <v>0</v>
      </c>
      <c r="AG306" s="274">
        <f t="shared" si="76"/>
        <v>0</v>
      </c>
      <c r="AH306" s="169">
        <f t="shared" si="82"/>
        <v>0</v>
      </c>
      <c r="AI306" s="169"/>
      <c r="AJ306" s="169">
        <f t="shared" si="83"/>
        <v>0</v>
      </c>
      <c r="AK306" s="169">
        <f t="shared" si="84"/>
        <v>0</v>
      </c>
      <c r="AL306" s="169"/>
      <c r="AM306" s="169">
        <f>AK305*W305+AK306*W306</f>
        <v>0</v>
      </c>
      <c r="AN306" s="169">
        <f>(SUM(AD305:AG305)*W305+SUM(AD306:AG306)*W306)*12*VLOOKUP(C306,JNovergang,3,1)</f>
        <v>0</v>
      </c>
      <c r="AO306" s="169">
        <f>AM306-AN306</f>
        <v>0</v>
      </c>
      <c r="AP306" s="169">
        <f>M306*(100+X306)%</f>
        <v>0</v>
      </c>
      <c r="AQ306" s="274">
        <f>ROUND(M306*F306,2)</f>
        <v>0</v>
      </c>
      <c r="AS306" s="274">
        <f>ROUND((AP306+AQ306)+AM306*(N306/12),0)</f>
        <v>0</v>
      </c>
      <c r="AT306" s="274">
        <f>ROUND(AM306*(O306/12),0)</f>
        <v>0</v>
      </c>
      <c r="AU306" s="274">
        <f>ROUND(AM306*(P306/12)*U306,0)</f>
        <v>0</v>
      </c>
      <c r="AW306" s="144">
        <f t="shared" si="85"/>
        <v>0</v>
      </c>
    </row>
    <row r="307" spans="1:49">
      <c r="A307" s="173"/>
      <c r="B307" s="174"/>
      <c r="C307" s="174"/>
      <c r="D307" s="165" t="str">
        <f t="shared" si="86"/>
        <v xml:space="preserve"> </v>
      </c>
      <c r="E307" s="177"/>
      <c r="F307" s="287">
        <v>0</v>
      </c>
      <c r="G307" s="177">
        <v>37</v>
      </c>
      <c r="H307" s="177">
        <v>37</v>
      </c>
      <c r="I307" s="177"/>
      <c r="J307" s="179"/>
      <c r="K307" s="177"/>
      <c r="L307" s="179"/>
      <c r="M307" s="166"/>
      <c r="N307" s="166"/>
      <c r="O307" s="166"/>
      <c r="P307" s="166"/>
      <c r="Q307" s="167"/>
      <c r="R307" s="167"/>
      <c r="S307" s="168"/>
      <c r="V307" s="144">
        <f t="shared" si="77"/>
        <v>0</v>
      </c>
      <c r="W307" s="144">
        <f t="shared" si="78"/>
        <v>0</v>
      </c>
      <c r="X307" s="144">
        <f>VLOOKUP(C307,JNferiepenge,3,1)</f>
        <v>0</v>
      </c>
      <c r="Y307" s="144">
        <f t="shared" si="79"/>
        <v>31.779800000000002</v>
      </c>
      <c r="Z307" s="169">
        <f t="shared" si="71"/>
        <v>0</v>
      </c>
      <c r="AA307" s="274">
        <f t="shared" si="72"/>
        <v>0</v>
      </c>
      <c r="AB307" s="169">
        <f t="shared" si="80"/>
        <v>0</v>
      </c>
      <c r="AC307" s="274">
        <f t="shared" si="73"/>
        <v>0</v>
      </c>
      <c r="AD307" s="169">
        <f t="shared" si="74"/>
        <v>0</v>
      </c>
      <c r="AE307" s="274">
        <f t="shared" si="75"/>
        <v>0</v>
      </c>
      <c r="AF307" s="169">
        <f t="shared" si="81"/>
        <v>0</v>
      </c>
      <c r="AG307" s="274">
        <f t="shared" si="76"/>
        <v>0</v>
      </c>
      <c r="AH307" s="169">
        <f t="shared" si="82"/>
        <v>0</v>
      </c>
      <c r="AI307" s="169"/>
      <c r="AJ307" s="169">
        <f t="shared" si="83"/>
        <v>0</v>
      </c>
      <c r="AK307" s="169">
        <f t="shared" si="84"/>
        <v>0</v>
      </c>
      <c r="AL307" s="169"/>
      <c r="AM307" s="169"/>
      <c r="AN307" s="169"/>
      <c r="AQ307" s="169"/>
      <c r="AW307" s="144">
        <f t="shared" si="85"/>
        <v>0</v>
      </c>
    </row>
    <row r="308" spans="1:49" ht="9.75" thickBot="1">
      <c r="A308" s="175"/>
      <c r="B308" s="176"/>
      <c r="C308" s="176"/>
      <c r="D308" s="170" t="str">
        <f t="shared" si="86"/>
        <v xml:space="preserve"> </v>
      </c>
      <c r="E308" s="178"/>
      <c r="F308" s="288">
        <v>0</v>
      </c>
      <c r="G308" s="178">
        <v>37</v>
      </c>
      <c r="H308" s="178">
        <v>37</v>
      </c>
      <c r="I308" s="178"/>
      <c r="J308" s="180"/>
      <c r="K308" s="178"/>
      <c r="L308" s="180"/>
      <c r="M308" s="180"/>
      <c r="N308" s="178"/>
      <c r="O308" s="178"/>
      <c r="P308" s="178"/>
      <c r="Q308" s="171">
        <f>AS308</f>
        <v>0</v>
      </c>
      <c r="R308" s="171">
        <f>AT308</f>
        <v>0</v>
      </c>
      <c r="S308" s="172">
        <f>AU308</f>
        <v>0</v>
      </c>
      <c r="U308" s="144">
        <f>IF(OR(C307=5,C308=5),0,1)</f>
        <v>1</v>
      </c>
      <c r="V308" s="144">
        <f t="shared" si="77"/>
        <v>0</v>
      </c>
      <c r="W308" s="144">
        <f t="shared" si="78"/>
        <v>0</v>
      </c>
      <c r="X308" s="144">
        <f>VLOOKUP(C308,JNferiepenge,3,1)</f>
        <v>0</v>
      </c>
      <c r="Y308" s="144">
        <f t="shared" si="79"/>
        <v>31.779800000000002</v>
      </c>
      <c r="Z308" s="169">
        <f t="shared" si="71"/>
        <v>0</v>
      </c>
      <c r="AA308" s="274">
        <f t="shared" si="72"/>
        <v>0</v>
      </c>
      <c r="AB308" s="169">
        <f t="shared" si="80"/>
        <v>0</v>
      </c>
      <c r="AC308" s="274">
        <f t="shared" si="73"/>
        <v>0</v>
      </c>
      <c r="AD308" s="169">
        <f t="shared" si="74"/>
        <v>0</v>
      </c>
      <c r="AE308" s="274">
        <f t="shared" si="75"/>
        <v>0</v>
      </c>
      <c r="AF308" s="169">
        <f t="shared" si="81"/>
        <v>0</v>
      </c>
      <c r="AG308" s="274">
        <f t="shared" si="76"/>
        <v>0</v>
      </c>
      <c r="AH308" s="169">
        <f t="shared" si="82"/>
        <v>0</v>
      </c>
      <c r="AI308" s="169"/>
      <c r="AJ308" s="169">
        <f t="shared" si="83"/>
        <v>0</v>
      </c>
      <c r="AK308" s="169">
        <f t="shared" si="84"/>
        <v>0</v>
      </c>
      <c r="AL308" s="169"/>
      <c r="AM308" s="169">
        <f>AK307*W307+AK308*W308</f>
        <v>0</v>
      </c>
      <c r="AN308" s="169">
        <f>(SUM(AD307:AG307)*W307+SUM(AD308:AG308)*W308)*12*VLOOKUP(C308,JNovergang,3,1)</f>
        <v>0</v>
      </c>
      <c r="AO308" s="169">
        <f>AM308-AN308</f>
        <v>0</v>
      </c>
      <c r="AP308" s="169">
        <f>M308*(100+X308)%</f>
        <v>0</v>
      </c>
      <c r="AQ308" s="274">
        <f>ROUND(M308*F308,2)</f>
        <v>0</v>
      </c>
      <c r="AS308" s="274">
        <f>ROUND((AP308+AQ308)+AM308*(N308/12),0)</f>
        <v>0</v>
      </c>
      <c r="AT308" s="274">
        <f>ROUND(AM308*(O308/12),0)</f>
        <v>0</v>
      </c>
      <c r="AU308" s="274">
        <f>ROUND(AM308*(P308/12)*U308,0)</f>
        <v>0</v>
      </c>
      <c r="AW308" s="144">
        <f t="shared" si="85"/>
        <v>0</v>
      </c>
    </row>
  </sheetData>
  <sheetProtection password="CF28" sheet="1"/>
  <mergeCells count="2">
    <mergeCell ref="R1:S1"/>
    <mergeCell ref="AS16:AU16"/>
  </mergeCells>
  <phoneticPr fontId="0" type="noConversion"/>
  <pageMargins left="0.31496062992125984" right="0.31496062992125984" top="0.43307086614173229" bottom="0.39370078740157483" header="0" footer="0.19685039370078741"/>
  <pageSetup paperSize="9" orientation="landscape" blackAndWhite="1" r:id="rId1"/>
  <headerFooter alignWithMargins="0">
    <oddFooter>&amp;CSide &amp;P af 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7"/>
  <dimension ref="A1:L50"/>
  <sheetViews>
    <sheetView workbookViewId="0">
      <selection activeCell="F15" sqref="F15"/>
    </sheetView>
  </sheetViews>
  <sheetFormatPr defaultRowHeight="12.75"/>
  <cols>
    <col min="1" max="1" width="39.1640625" style="531" customWidth="1"/>
    <col min="2" max="3" width="17.5" style="531" customWidth="1"/>
    <col min="4" max="9" width="9.33203125" style="531"/>
    <col min="10" max="10" width="0.33203125" style="531" customWidth="1"/>
    <col min="11" max="12" width="9.33203125" style="531" hidden="1" customWidth="1"/>
    <col min="13" max="16384" width="9.33203125" style="531"/>
  </cols>
  <sheetData>
    <row r="1" spans="1:12">
      <c r="A1" s="530" t="s">
        <v>292</v>
      </c>
    </row>
    <row r="3" spans="1:12">
      <c r="A3" s="531" t="s">
        <v>293</v>
      </c>
    </row>
    <row r="4" spans="1:12">
      <c r="A4" s="531" t="s">
        <v>294</v>
      </c>
    </row>
    <row r="5" spans="1:12">
      <c r="A5" s="531" t="s">
        <v>296</v>
      </c>
    </row>
    <row r="7" spans="1:12">
      <c r="A7" s="532" t="str">
        <f>"Det årlige beløb i "&amp;Dato4&amp;" niveau skal tilbageføres til grundsatsniveau."</f>
        <v>Det årlige beløb i 1/1-2016 niveau skal tilbageføres til grundsatsniveau.</v>
      </c>
    </row>
    <row r="9" spans="1:12">
      <c r="A9" s="531" t="s">
        <v>215</v>
      </c>
    </row>
    <row r="10" spans="1:12">
      <c r="A10" s="533"/>
      <c r="B10" s="534" t="s">
        <v>217</v>
      </c>
      <c r="C10" s="534" t="s">
        <v>218</v>
      </c>
    </row>
    <row r="11" spans="1:12">
      <c r="A11" s="533" t="s">
        <v>102</v>
      </c>
      <c r="B11" s="534">
        <v>0</v>
      </c>
      <c r="C11" s="535"/>
      <c r="D11" s="536" t="s">
        <v>382</v>
      </c>
      <c r="K11" s="537" t="s">
        <v>273</v>
      </c>
      <c r="L11" s="537">
        <f>VLOOKUP(LønkodeTillæg,TabelPctReg,2)</f>
        <v>31.779800000000002</v>
      </c>
    </row>
    <row r="12" spans="1:12">
      <c r="A12" s="538"/>
      <c r="B12" s="534"/>
      <c r="C12" s="534"/>
      <c r="D12" s="536" t="s">
        <v>383</v>
      </c>
    </row>
    <row r="13" spans="1:12">
      <c r="A13" s="539" t="str">
        <f>"Årligt tillæg i "&amp;Dato4&amp;" niveau"</f>
        <v>Årligt tillæg i 1/1-2016 niveau</v>
      </c>
      <c r="B13" s="540">
        <v>20000</v>
      </c>
      <c r="C13" s="541"/>
    </row>
    <row r="14" spans="1:12">
      <c r="A14" s="533" t="s">
        <v>291</v>
      </c>
      <c r="B14" s="534" t="str">
        <f>TEXT((100+procentregulering)/100,"#,000000")</f>
        <v>1,317798</v>
      </c>
      <c r="C14" s="542" t="str">
        <f>TEXT((100+PctregTillæg)/100,"#,000000")</f>
        <v>1,317798</v>
      </c>
    </row>
    <row r="15" spans="1:12">
      <c r="A15" s="533" t="s">
        <v>295</v>
      </c>
      <c r="B15" s="540">
        <f>B13/(1+procentregulering%)</f>
        <v>15176.832868163405</v>
      </c>
      <c r="C15" s="540">
        <f>C13/(1+PctregTillæg%)</f>
        <v>0</v>
      </c>
    </row>
    <row r="16" spans="1:12">
      <c r="A16" s="533" t="s">
        <v>216</v>
      </c>
      <c r="B16" s="540">
        <f>ROUND(B15,0)</f>
        <v>15177</v>
      </c>
      <c r="C16" s="540">
        <f>ROUND(C15,0)</f>
        <v>0</v>
      </c>
    </row>
    <row r="19" spans="1:5">
      <c r="A19" s="530" t="s">
        <v>220</v>
      </c>
      <c r="B19" s="543" t="s">
        <v>289</v>
      </c>
      <c r="C19" s="543" t="s">
        <v>290</v>
      </c>
    </row>
    <row r="20" spans="1:5">
      <c r="A20" s="530"/>
      <c r="B20" s="543"/>
      <c r="C20" s="543"/>
    </row>
    <row r="21" spans="1:5">
      <c r="A21" s="544" t="s">
        <v>755</v>
      </c>
      <c r="B21" s="545">
        <v>0.31779800000000002</v>
      </c>
      <c r="C21" s="545">
        <v>0.15582499999999999</v>
      </c>
      <c r="E21" s="531" t="s">
        <v>758</v>
      </c>
    </row>
    <row r="22" spans="1:5">
      <c r="A22" s="544" t="s">
        <v>754</v>
      </c>
      <c r="B22" s="545">
        <v>0.31133300000000003</v>
      </c>
      <c r="C22" s="545">
        <v>0.15015500000000001</v>
      </c>
      <c r="E22" s="531" t="s">
        <v>756</v>
      </c>
    </row>
    <row r="23" spans="1:5">
      <c r="A23" s="544" t="s">
        <v>753</v>
      </c>
      <c r="B23" s="545">
        <v>0.305367</v>
      </c>
      <c r="C23" s="545">
        <v>0.144922</v>
      </c>
      <c r="E23" s="531" t="s">
        <v>757</v>
      </c>
    </row>
    <row r="24" spans="1:5">
      <c r="A24" s="544" t="s">
        <v>732</v>
      </c>
      <c r="B24" s="545">
        <v>0.29295500000000002</v>
      </c>
      <c r="C24" s="545">
        <v>0.13403499999999999</v>
      </c>
    </row>
    <row r="25" spans="1:5">
      <c r="A25" s="544" t="s">
        <v>686</v>
      </c>
      <c r="B25" s="545">
        <v>0.28489999999999999</v>
      </c>
      <c r="C25" s="545">
        <v>0.12697</v>
      </c>
    </row>
    <row r="26" spans="1:5" s="530" customFormat="1">
      <c r="A26" s="544" t="s">
        <v>414</v>
      </c>
      <c r="B26" s="545">
        <v>0.27854600000000002</v>
      </c>
      <c r="C26" s="545">
        <v>0.121397</v>
      </c>
    </row>
    <row r="27" spans="1:5">
      <c r="A27" s="544" t="s">
        <v>380</v>
      </c>
      <c r="B27" s="545">
        <v>0.27708899999999997</v>
      </c>
      <c r="C27" s="545">
        <v>0.120119</v>
      </c>
    </row>
    <row r="28" spans="1:5">
      <c r="A28" s="544" t="s">
        <v>381</v>
      </c>
      <c r="B28" s="545">
        <v>0.270735</v>
      </c>
      <c r="C28" s="545">
        <v>0.114546</v>
      </c>
    </row>
    <row r="29" spans="1:5">
      <c r="A29" s="544" t="s">
        <v>356</v>
      </c>
      <c r="B29" s="545">
        <v>0.26890399999999998</v>
      </c>
      <c r="C29" s="545">
        <v>0.11294</v>
      </c>
    </row>
    <row r="30" spans="1:5">
      <c r="A30" s="546">
        <v>40269</v>
      </c>
      <c r="B30" s="545">
        <v>0.24881200000000001</v>
      </c>
      <c r="C30" s="545">
        <v>9.5316999999999999E-2</v>
      </c>
    </row>
    <row r="31" spans="1:5">
      <c r="A31" s="547">
        <v>40087</v>
      </c>
      <c r="B31" s="545">
        <v>0.24699499999999999</v>
      </c>
      <c r="C31" s="545">
        <v>9.3723000000000001E-2</v>
      </c>
    </row>
    <row r="32" spans="1:5">
      <c r="A32" s="547">
        <v>39904</v>
      </c>
      <c r="B32" s="545">
        <v>0.23311399999999999</v>
      </c>
      <c r="C32" s="545">
        <v>8.1547999999999995E-2</v>
      </c>
    </row>
    <row r="33" spans="1:3">
      <c r="A33" s="547">
        <v>39722</v>
      </c>
      <c r="B33" s="548">
        <v>0.23078299999999999</v>
      </c>
      <c r="C33" s="548">
        <v>7.9504000000000005E-2</v>
      </c>
    </row>
    <row r="34" spans="1:3">
      <c r="A34" s="547">
        <v>39539</v>
      </c>
      <c r="B34" s="548">
        <v>0.212953</v>
      </c>
      <c r="C34" s="548">
        <v>6.3865000000000005E-2</v>
      </c>
    </row>
    <row r="35" spans="1:3">
      <c r="A35" s="549">
        <v>39356</v>
      </c>
      <c r="B35" s="548">
        <v>0.165293</v>
      </c>
      <c r="C35" s="548">
        <v>2.2062999999999999E-2</v>
      </c>
    </row>
    <row r="36" spans="1:3">
      <c r="A36" s="549">
        <v>39173</v>
      </c>
      <c r="B36" s="548">
        <v>0.16053500000000001</v>
      </c>
      <c r="C36" s="548">
        <v>1.789E-2</v>
      </c>
    </row>
    <row r="37" spans="1:3">
      <c r="A37" s="549">
        <v>38991</v>
      </c>
      <c r="B37" s="548">
        <v>0.15153900000000001</v>
      </c>
      <c r="C37" s="548">
        <v>0.01</v>
      </c>
    </row>
    <row r="38" spans="1:3">
      <c r="A38" s="549">
        <v>38718</v>
      </c>
      <c r="B38" s="548">
        <v>0.14013800000000001</v>
      </c>
      <c r="C38" s="548">
        <v>0</v>
      </c>
    </row>
    <row r="39" spans="1:3">
      <c r="A39" s="549">
        <v>38443</v>
      </c>
      <c r="B39" s="548">
        <v>0.124454</v>
      </c>
    </row>
    <row r="40" spans="1:3">
      <c r="A40" s="549">
        <v>38261</v>
      </c>
      <c r="B40" s="548">
        <v>0.124454</v>
      </c>
    </row>
    <row r="41" spans="1:3">
      <c r="A41" s="549">
        <v>38200</v>
      </c>
      <c r="B41" s="548">
        <v>0.12003800000000001</v>
      </c>
    </row>
    <row r="42" spans="1:3">
      <c r="A42" s="549">
        <v>38078</v>
      </c>
      <c r="B42" s="548">
        <v>0.109523</v>
      </c>
    </row>
    <row r="43" spans="1:3">
      <c r="A43" s="549">
        <v>37895</v>
      </c>
      <c r="B43" s="548">
        <v>9.2674999999999993E-2</v>
      </c>
    </row>
    <row r="44" spans="1:3">
      <c r="A44" s="549">
        <v>37834</v>
      </c>
      <c r="B44" s="548">
        <v>8.8679999999999995E-2</v>
      </c>
    </row>
    <row r="45" spans="1:3">
      <c r="A45" s="549">
        <v>37712</v>
      </c>
      <c r="B45" s="548">
        <v>8.3421999999999996E-2</v>
      </c>
    </row>
    <row r="46" spans="1:3">
      <c r="A46" s="549">
        <v>37347</v>
      </c>
      <c r="B46" s="548">
        <v>6.1566000000000003E-2</v>
      </c>
    </row>
    <row r="47" spans="1:3">
      <c r="A47" s="549">
        <v>37165</v>
      </c>
      <c r="B47" s="548">
        <v>5.1157000000000001E-2</v>
      </c>
    </row>
    <row r="48" spans="1:3">
      <c r="A48" s="549">
        <v>36982</v>
      </c>
      <c r="B48" s="548">
        <v>4.0661999999999997E-2</v>
      </c>
    </row>
    <row r="49" spans="1:2">
      <c r="A49" s="549">
        <v>36617</v>
      </c>
      <c r="B49" s="548">
        <v>1.8558999999999999E-2</v>
      </c>
    </row>
    <row r="50" spans="1:2">
      <c r="A50" s="549">
        <v>36616</v>
      </c>
      <c r="B50" s="548">
        <v>0</v>
      </c>
    </row>
  </sheetData>
  <sheetProtection sheet="1" objects="1" scenarios="1"/>
  <phoneticPr fontId="0" type="noConversion"/>
  <pageMargins left="0.31496062992125984" right="0.31496062992125984" top="0.39370078740157483" bottom="0.39370078740157483" header="0" footer="0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8"/>
  <dimension ref="A1:AB69"/>
  <sheetViews>
    <sheetView zoomScale="115" zoomScaleNormal="115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I20" sqref="I20"/>
    </sheetView>
  </sheetViews>
  <sheetFormatPr defaultRowHeight="11.25"/>
  <cols>
    <col min="1" max="1" width="8" style="302" customWidth="1"/>
    <col min="2" max="2" width="12.33203125" style="302" customWidth="1"/>
    <col min="3" max="4" width="10.83203125" style="302" customWidth="1"/>
    <col min="5" max="5" width="6" style="302" customWidth="1"/>
    <col min="6" max="6" width="10.83203125" style="302" customWidth="1"/>
    <col min="7" max="7" width="11.33203125" style="302" customWidth="1"/>
    <col min="8" max="8" width="15" style="415" customWidth="1"/>
    <col min="9" max="9" width="10.83203125" style="415" customWidth="1"/>
    <col min="10" max="10" width="13.1640625" style="302" bestFit="1" customWidth="1"/>
    <col min="11" max="11" width="8.6640625" style="302" customWidth="1"/>
    <col min="12" max="13" width="10.1640625" style="302" bestFit="1" customWidth="1"/>
    <col min="14" max="14" width="12.1640625" style="302" customWidth="1"/>
    <col min="15" max="15" width="11.5" style="302" customWidth="1"/>
    <col min="16" max="17" width="10.1640625" style="302" bestFit="1" customWidth="1"/>
    <col min="18" max="18" width="11.1640625" style="302" customWidth="1"/>
    <col min="19" max="19" width="14.5" style="302" customWidth="1"/>
    <col min="20" max="20" width="14.6640625" style="301" customWidth="1"/>
    <col min="21" max="16384" width="9.33203125" style="301"/>
  </cols>
  <sheetData>
    <row r="1" spans="1:28" s="464" customFormat="1" ht="12.75">
      <c r="A1" s="458"/>
      <c r="B1" s="461"/>
      <c r="C1" s="461"/>
      <c r="D1" s="461"/>
      <c r="E1" s="461"/>
      <c r="F1" s="461"/>
      <c r="G1" s="461"/>
      <c r="H1" s="461" t="s">
        <v>750</v>
      </c>
      <c r="I1" s="461"/>
      <c r="J1" s="461" t="s">
        <v>290</v>
      </c>
      <c r="K1" s="461"/>
      <c r="L1" s="461"/>
      <c r="M1" s="461"/>
      <c r="N1" s="461"/>
      <c r="O1" s="461"/>
      <c r="P1" s="461"/>
      <c r="Q1" s="461"/>
      <c r="R1" s="461"/>
      <c r="S1" s="458"/>
    </row>
    <row r="2" spans="1:28" s="464" customFormat="1" ht="12.75">
      <c r="A2" s="458"/>
      <c r="B2" s="461"/>
      <c r="C2" s="461"/>
      <c r="D2" s="461"/>
      <c r="E2" s="461"/>
      <c r="F2" s="461"/>
      <c r="G2" s="461"/>
      <c r="H2" s="461" t="s">
        <v>387</v>
      </c>
      <c r="I2" s="461"/>
      <c r="J2" s="461" t="s">
        <v>387</v>
      </c>
      <c r="K2" s="461"/>
      <c r="L2" s="461"/>
      <c r="M2" s="461"/>
      <c r="N2" s="461"/>
      <c r="O2" s="461"/>
      <c r="P2" s="461"/>
      <c r="Q2" s="461"/>
      <c r="R2" s="461"/>
      <c r="S2" s="458"/>
    </row>
    <row r="3" spans="1:28" s="464" customFormat="1" ht="12.75">
      <c r="A3" s="458" t="str">
        <f>"Oversigt over nettolønninger inkl. 3 dele pension pr. "&amp;Dato2</f>
        <v>Oversigt over nettolønninger inkl. 3 dele pension pr. 1. januar 2016</v>
      </c>
      <c r="B3" s="461"/>
      <c r="C3" s="461"/>
      <c r="D3" s="461"/>
      <c r="E3" s="461"/>
      <c r="F3" s="461"/>
      <c r="G3" s="461"/>
      <c r="H3" s="461">
        <f>+procentregulering</f>
        <v>31.779800000000002</v>
      </c>
      <c r="I3" s="461"/>
      <c r="J3" s="461">
        <f>+ProcentreguleringSund</f>
        <v>15.5825</v>
      </c>
      <c r="K3" s="461"/>
      <c r="L3" s="461"/>
      <c r="M3" s="461"/>
      <c r="N3" s="461"/>
      <c r="O3" s="461"/>
      <c r="P3" s="461"/>
      <c r="Q3" s="461"/>
      <c r="R3" s="461"/>
      <c r="S3" s="458"/>
    </row>
    <row r="4" spans="1:28" s="464" customFormat="1" ht="12.75">
      <c r="A4" s="458"/>
      <c r="B4" s="461"/>
      <c r="C4" s="461"/>
      <c r="D4" s="461"/>
      <c r="E4" s="461"/>
      <c r="F4" s="461"/>
      <c r="G4" s="461"/>
      <c r="H4" s="461">
        <f>+(H3+100)/100</f>
        <v>1.317798</v>
      </c>
      <c r="I4" s="461"/>
      <c r="J4" s="461">
        <f>+(100+J3)/100</f>
        <v>1.1558249999999999</v>
      </c>
      <c r="K4" s="461"/>
      <c r="L4" s="461"/>
      <c r="M4" s="461"/>
      <c r="N4" s="461" t="s">
        <v>274</v>
      </c>
      <c r="O4" s="461"/>
      <c r="P4" s="461"/>
      <c r="Q4" s="461"/>
      <c r="R4" s="461" t="s">
        <v>276</v>
      </c>
      <c r="S4" s="458"/>
    </row>
    <row r="5" spans="1:28" s="464" customFormat="1" ht="12.75">
      <c r="A5" s="458"/>
      <c r="B5" s="461"/>
      <c r="C5" s="461"/>
      <c r="D5" s="461" t="s">
        <v>101</v>
      </c>
      <c r="E5" s="461"/>
      <c r="F5" s="461"/>
      <c r="G5" s="461" t="s">
        <v>100</v>
      </c>
      <c r="H5" s="461"/>
      <c r="I5" s="461"/>
      <c r="J5" s="461"/>
      <c r="K5" s="461"/>
      <c r="L5" s="461"/>
      <c r="M5" s="461"/>
      <c r="N5" s="461" t="s">
        <v>275</v>
      </c>
      <c r="O5" s="461"/>
      <c r="P5" s="461"/>
      <c r="Q5" s="461"/>
      <c r="R5" s="461" t="s">
        <v>277</v>
      </c>
      <c r="S5" s="458"/>
    </row>
    <row r="6" spans="1:28" s="464" customFormat="1" ht="12.75">
      <c r="A6" s="458"/>
      <c r="B6" s="461"/>
      <c r="C6" s="461"/>
      <c r="D6" s="461">
        <f>COLUMN()</f>
        <v>4</v>
      </c>
      <c r="E6" s="461"/>
      <c r="F6" s="461"/>
      <c r="G6" s="461">
        <f>COLUMN()</f>
        <v>7</v>
      </c>
      <c r="H6" s="461"/>
      <c r="I6" s="461"/>
      <c r="J6" s="461">
        <v>2006</v>
      </c>
      <c r="K6" s="461">
        <v>2006</v>
      </c>
      <c r="L6" s="461"/>
      <c r="M6" s="461"/>
      <c r="N6" s="461">
        <f>COLUMN()</f>
        <v>14</v>
      </c>
      <c r="O6" s="461">
        <v>2006</v>
      </c>
      <c r="P6" s="461"/>
      <c r="Q6" s="461"/>
      <c r="R6" s="461">
        <f>COLUMN()</f>
        <v>18</v>
      </c>
      <c r="S6" s="458"/>
    </row>
    <row r="7" spans="1:28" s="464" customFormat="1" ht="12.75">
      <c r="A7" s="458" t="s">
        <v>19</v>
      </c>
      <c r="B7" s="461" t="s">
        <v>222</v>
      </c>
      <c r="C7" s="461" t="s">
        <v>3</v>
      </c>
      <c r="D7" s="461" t="s">
        <v>3</v>
      </c>
      <c r="E7" s="461"/>
      <c r="F7" s="461" t="s">
        <v>3</v>
      </c>
      <c r="G7" s="461" t="s">
        <v>3</v>
      </c>
      <c r="H7" s="461" t="s">
        <v>349</v>
      </c>
      <c r="I7" s="461"/>
      <c r="J7" s="461" t="s">
        <v>749</v>
      </c>
      <c r="K7" s="461" t="s">
        <v>748</v>
      </c>
      <c r="L7" s="461" t="s">
        <v>222</v>
      </c>
      <c r="M7" s="461" t="s">
        <v>3</v>
      </c>
      <c r="N7" s="461" t="s">
        <v>3</v>
      </c>
      <c r="O7" s="461" t="s">
        <v>749</v>
      </c>
      <c r="P7" s="461" t="s">
        <v>222</v>
      </c>
      <c r="Q7" s="461" t="s">
        <v>3</v>
      </c>
      <c r="R7" s="461" t="s">
        <v>3</v>
      </c>
      <c r="S7" s="458"/>
    </row>
    <row r="8" spans="1:28" s="464" customFormat="1" ht="12.75">
      <c r="A8" s="458"/>
      <c r="B8" s="461" t="s">
        <v>223</v>
      </c>
      <c r="C8" s="461" t="s">
        <v>77</v>
      </c>
      <c r="D8" s="461" t="s">
        <v>125</v>
      </c>
      <c r="E8" s="461"/>
      <c r="F8" s="461" t="s">
        <v>77</v>
      </c>
      <c r="G8" s="461" t="s">
        <v>125</v>
      </c>
      <c r="H8" s="461" t="s">
        <v>712</v>
      </c>
      <c r="I8" s="461"/>
      <c r="J8" s="461" t="s">
        <v>21</v>
      </c>
      <c r="K8" s="461" t="s">
        <v>71</v>
      </c>
      <c r="L8" s="461" t="s">
        <v>223</v>
      </c>
      <c r="M8" s="461" t="s">
        <v>77</v>
      </c>
      <c r="N8" s="461" t="s">
        <v>125</v>
      </c>
      <c r="O8" s="461" t="s">
        <v>21</v>
      </c>
      <c r="P8" s="461" t="s">
        <v>223</v>
      </c>
      <c r="Q8" s="461" t="s">
        <v>77</v>
      </c>
      <c r="R8" s="461" t="s">
        <v>125</v>
      </c>
      <c r="S8" s="458"/>
    </row>
    <row r="9" spans="1:28" ht="12.75">
      <c r="A9" s="302">
        <v>0</v>
      </c>
      <c r="B9" s="460">
        <v>0</v>
      </c>
      <c r="C9" s="460">
        <v>0</v>
      </c>
      <c r="D9" s="460">
        <v>0</v>
      </c>
      <c r="E9" s="457"/>
      <c r="F9" s="460">
        <v>0</v>
      </c>
      <c r="G9" s="460">
        <v>0</v>
      </c>
      <c r="H9" s="457"/>
      <c r="I9" s="457"/>
      <c r="J9" s="457"/>
      <c r="K9" s="457"/>
      <c r="L9" s="460">
        <v>0</v>
      </c>
      <c r="M9" s="460">
        <v>0</v>
      </c>
      <c r="N9" s="460">
        <v>0</v>
      </c>
      <c r="O9" s="457"/>
      <c r="P9" s="460">
        <v>0</v>
      </c>
      <c r="Q9" s="460">
        <v>0</v>
      </c>
      <c r="R9" s="460">
        <v>0</v>
      </c>
      <c r="S9" s="458"/>
    </row>
    <row r="10" spans="1:28" ht="12.75">
      <c r="A10" s="302">
        <v>1</v>
      </c>
      <c r="B10" s="503">
        <v>203259</v>
      </c>
      <c r="C10" s="497">
        <v>203259</v>
      </c>
      <c r="D10" s="460">
        <f t="shared" ref="D10:D41" si="0">ROUND(C10/12,2)</f>
        <v>16938.25</v>
      </c>
      <c r="E10" s="457"/>
      <c r="F10" s="463">
        <f t="shared" ref="F10:F17" si="1">+H10*$H$4</f>
        <v>263857.42234799999</v>
      </c>
      <c r="G10" s="460">
        <f>ROUND(F10/12,2)</f>
        <v>21988.12</v>
      </c>
      <c r="H10" s="457">
        <v>200226</v>
      </c>
      <c r="I10" s="457"/>
      <c r="J10" s="494">
        <v>219000</v>
      </c>
      <c r="K10" s="494">
        <v>11437</v>
      </c>
      <c r="L10" s="459">
        <f>+M10</f>
        <v>266344.84552499995</v>
      </c>
      <c r="M10" s="494">
        <f>+(J10+K10)*$J$4</f>
        <v>266344.84552499995</v>
      </c>
      <c r="N10" s="460">
        <f>ROUND(M10/12,2)</f>
        <v>22195.4</v>
      </c>
      <c r="O10" s="496">
        <v>307581</v>
      </c>
      <c r="P10" s="524">
        <v>355510</v>
      </c>
      <c r="Q10" s="524">
        <v>355510</v>
      </c>
      <c r="R10" s="460">
        <f t="shared" ref="R10:R25" si="2">ROUND(Q10/12,2)</f>
        <v>29625.83</v>
      </c>
      <c r="S10" s="458"/>
      <c r="T10" s="524"/>
      <c r="U10" s="301" t="s">
        <v>751</v>
      </c>
      <c r="AB10" s="503"/>
    </row>
    <row r="11" spans="1:28" ht="12.75">
      <c r="A11" s="302">
        <v>2</v>
      </c>
      <c r="B11" s="504">
        <v>206464</v>
      </c>
      <c r="C11" s="497">
        <v>206464</v>
      </c>
      <c r="D11" s="460">
        <f t="shared" si="0"/>
        <v>17205.330000000002</v>
      </c>
      <c r="E11" s="457"/>
      <c r="F11" s="463">
        <f>+H11*$H$4</f>
        <v>270006.26781599998</v>
      </c>
      <c r="G11" s="460">
        <f t="shared" ref="G11:G17" si="3">ROUND(F11/12,2)</f>
        <v>22500.52</v>
      </c>
      <c r="H11" s="457">
        <v>204892</v>
      </c>
      <c r="I11" s="463"/>
      <c r="J11" s="494">
        <v>223500</v>
      </c>
      <c r="K11" s="494">
        <v>12027</v>
      </c>
      <c r="L11" s="459">
        <f t="shared" ref="L11:L19" si="4">+M11</f>
        <v>272227.99477499997</v>
      </c>
      <c r="M11" s="494">
        <f t="shared" ref="M11:M19" si="5">+(J11+K11)*$J$4</f>
        <v>272227.99477499997</v>
      </c>
      <c r="N11" s="460">
        <f t="shared" ref="N11:N65" si="6">ROUND(M11/12,2)</f>
        <v>22685.67</v>
      </c>
      <c r="O11" s="496">
        <v>312041</v>
      </c>
      <c r="P11" s="524">
        <v>360665</v>
      </c>
      <c r="Q11" s="524">
        <v>360665</v>
      </c>
      <c r="R11" s="460">
        <f t="shared" si="2"/>
        <v>30055.42</v>
      </c>
      <c r="S11" s="458"/>
      <c r="T11" s="524"/>
      <c r="AB11" s="504"/>
    </row>
    <row r="12" spans="1:28" ht="12.75">
      <c r="A12" s="302">
        <v>3</v>
      </c>
      <c r="B12" s="504">
        <v>209756</v>
      </c>
      <c r="C12" s="497">
        <v>209756</v>
      </c>
      <c r="D12" s="460">
        <f t="shared" si="0"/>
        <v>17479.669999999998</v>
      </c>
      <c r="E12" s="457"/>
      <c r="F12" s="463">
        <f t="shared" si="1"/>
        <v>309926.32263000001</v>
      </c>
      <c r="G12" s="460">
        <f t="shared" si="3"/>
        <v>25827.19</v>
      </c>
      <c r="H12" s="457">
        <v>235185</v>
      </c>
      <c r="I12" s="463"/>
      <c r="J12" s="494">
        <v>234600</v>
      </c>
      <c r="K12" s="494">
        <v>12649</v>
      </c>
      <c r="L12" s="459">
        <f t="shared" si="4"/>
        <v>285776.57542499999</v>
      </c>
      <c r="M12" s="494">
        <f t="shared" si="5"/>
        <v>285776.57542499999</v>
      </c>
      <c r="N12" s="460">
        <f t="shared" si="6"/>
        <v>23814.71</v>
      </c>
      <c r="O12" s="496">
        <v>316858</v>
      </c>
      <c r="P12" s="524">
        <v>366233</v>
      </c>
      <c r="Q12" s="524">
        <v>366233</v>
      </c>
      <c r="R12" s="460">
        <f t="shared" si="2"/>
        <v>30519.42</v>
      </c>
      <c r="S12" s="458"/>
      <c r="T12" s="524"/>
      <c r="U12" s="301" t="s">
        <v>752</v>
      </c>
      <c r="AB12" s="504"/>
    </row>
    <row r="13" spans="1:28" ht="12.75">
      <c r="A13" s="302">
        <v>4</v>
      </c>
      <c r="B13" s="504">
        <v>213140</v>
      </c>
      <c r="C13" s="497">
        <v>213140</v>
      </c>
      <c r="D13" s="460">
        <f t="shared" si="0"/>
        <v>17761.669999999998</v>
      </c>
      <c r="E13" s="457"/>
      <c r="F13" s="463">
        <f t="shared" si="1"/>
        <v>309926.32263000001</v>
      </c>
      <c r="G13" s="460">
        <f t="shared" si="3"/>
        <v>25827.19</v>
      </c>
      <c r="H13" s="457">
        <v>235185</v>
      </c>
      <c r="I13" s="463"/>
      <c r="J13" s="494">
        <v>243700</v>
      </c>
      <c r="K13" s="494">
        <v>12302</v>
      </c>
      <c r="L13" s="459">
        <f t="shared" si="4"/>
        <v>295893.51164999994</v>
      </c>
      <c r="M13" s="494">
        <f t="shared" si="5"/>
        <v>295893.51164999994</v>
      </c>
      <c r="N13" s="460">
        <f t="shared" si="6"/>
        <v>24657.79</v>
      </c>
      <c r="O13" s="496">
        <v>321558</v>
      </c>
      <c r="P13" s="524">
        <v>371665</v>
      </c>
      <c r="Q13" s="524">
        <v>371665</v>
      </c>
      <c r="R13" s="460">
        <f t="shared" si="2"/>
        <v>30972.080000000002</v>
      </c>
      <c r="S13" s="458"/>
      <c r="T13" s="524"/>
      <c r="AB13" s="504"/>
    </row>
    <row r="14" spans="1:28" ht="12.75">
      <c r="A14" s="302">
        <v>5</v>
      </c>
      <c r="B14" s="505">
        <v>216615</v>
      </c>
      <c r="C14" s="498">
        <v>216615</v>
      </c>
      <c r="D14" s="460">
        <f t="shared" si="0"/>
        <v>18051.25</v>
      </c>
      <c r="E14" s="457"/>
      <c r="F14" s="463">
        <f t="shared" si="1"/>
        <v>330085.99643400003</v>
      </c>
      <c r="G14" s="460">
        <f t="shared" si="3"/>
        <v>27507.17</v>
      </c>
      <c r="H14" s="457">
        <v>250483</v>
      </c>
      <c r="I14" s="463"/>
      <c r="J14" s="494">
        <v>251500</v>
      </c>
      <c r="K14" s="494">
        <v>10752</v>
      </c>
      <c r="L14" s="459">
        <f t="shared" si="4"/>
        <v>303117.41789999994</v>
      </c>
      <c r="M14" s="494">
        <f t="shared" si="5"/>
        <v>303117.41789999994</v>
      </c>
      <c r="N14" s="460">
        <f t="shared" si="6"/>
        <v>25259.78</v>
      </c>
      <c r="O14" s="496">
        <v>326331</v>
      </c>
      <c r="P14" s="524">
        <v>377182</v>
      </c>
      <c r="Q14" s="524">
        <v>377182</v>
      </c>
      <c r="R14" s="460">
        <f t="shared" si="2"/>
        <v>31431.83</v>
      </c>
      <c r="S14" s="458"/>
      <c r="T14" s="524"/>
      <c r="U14" s="301" t="s">
        <v>763</v>
      </c>
      <c r="AB14" s="505"/>
    </row>
    <row r="15" spans="1:28" ht="12.75">
      <c r="A15" s="302">
        <v>6</v>
      </c>
      <c r="B15" s="504">
        <v>220188</v>
      </c>
      <c r="C15" s="497">
        <v>220188</v>
      </c>
      <c r="D15" s="460">
        <f t="shared" si="0"/>
        <v>18349</v>
      </c>
      <c r="E15" s="457"/>
      <c r="F15" s="463">
        <f t="shared" si="1"/>
        <v>346764.047922</v>
      </c>
      <c r="G15" s="460">
        <f t="shared" si="3"/>
        <v>28897</v>
      </c>
      <c r="H15" s="457">
        <v>263139</v>
      </c>
      <c r="I15" s="463"/>
      <c r="J15" s="494">
        <v>279400</v>
      </c>
      <c r="K15" s="494">
        <v>8148</v>
      </c>
      <c r="L15" s="459">
        <f t="shared" si="4"/>
        <v>332355.16709999996</v>
      </c>
      <c r="M15" s="494">
        <f t="shared" si="5"/>
        <v>332355.16709999996</v>
      </c>
      <c r="N15" s="460">
        <f t="shared" si="6"/>
        <v>27696.26</v>
      </c>
      <c r="O15" s="496">
        <v>331178</v>
      </c>
      <c r="P15" s="525">
        <v>382784</v>
      </c>
      <c r="Q15" s="525">
        <v>382784</v>
      </c>
      <c r="R15" s="460">
        <f t="shared" si="2"/>
        <v>31898.67</v>
      </c>
      <c r="S15" s="458"/>
      <c r="T15" s="525"/>
      <c r="AB15" s="504"/>
    </row>
    <row r="16" spans="1:28" ht="12.75">
      <c r="A16" s="302">
        <v>7</v>
      </c>
      <c r="B16" s="504">
        <v>223856</v>
      </c>
      <c r="C16" s="497">
        <v>223856</v>
      </c>
      <c r="D16" s="460">
        <f t="shared" si="0"/>
        <v>18654.669999999998</v>
      </c>
      <c r="E16" s="457"/>
      <c r="F16" s="463">
        <f t="shared" si="1"/>
        <v>354823.70049000002</v>
      </c>
      <c r="G16" s="460">
        <f t="shared" si="3"/>
        <v>29568.639999999999</v>
      </c>
      <c r="H16" s="457">
        <v>269255</v>
      </c>
      <c r="I16" s="463"/>
      <c r="J16" s="494">
        <v>290500</v>
      </c>
      <c r="K16" s="494">
        <v>6864</v>
      </c>
      <c r="L16" s="459">
        <f t="shared" si="4"/>
        <v>343700.74529999995</v>
      </c>
      <c r="M16" s="494">
        <f t="shared" si="5"/>
        <v>343700.74529999995</v>
      </c>
      <c r="N16" s="460">
        <f t="shared" si="6"/>
        <v>28641.73</v>
      </c>
      <c r="O16" s="496">
        <v>336099</v>
      </c>
      <c r="P16" s="526">
        <v>388472</v>
      </c>
      <c r="Q16" s="526">
        <v>388472</v>
      </c>
      <c r="R16" s="460">
        <f t="shared" si="2"/>
        <v>32372.67</v>
      </c>
      <c r="S16" s="458"/>
      <c r="T16" s="526"/>
      <c r="AB16" s="504"/>
    </row>
    <row r="17" spans="1:28" ht="12.75">
      <c r="A17" s="302">
        <v>8</v>
      </c>
      <c r="B17" s="504">
        <v>227764</v>
      </c>
      <c r="C17" s="497">
        <v>227764</v>
      </c>
      <c r="D17" s="460">
        <f t="shared" si="0"/>
        <v>18980.330000000002</v>
      </c>
      <c r="E17" s="457"/>
      <c r="F17" s="463">
        <f t="shared" si="1"/>
        <v>378816.84867600002</v>
      </c>
      <c r="G17" s="460">
        <f t="shared" si="3"/>
        <v>31568.07</v>
      </c>
      <c r="H17" s="457">
        <v>287462</v>
      </c>
      <c r="I17" s="463"/>
      <c r="J17" s="494">
        <v>301100</v>
      </c>
      <c r="K17" s="494">
        <v>5420</v>
      </c>
      <c r="L17" s="459">
        <f t="shared" si="4"/>
        <v>354283.47899999999</v>
      </c>
      <c r="M17" s="494">
        <f t="shared" si="5"/>
        <v>354283.47899999999</v>
      </c>
      <c r="N17" s="460">
        <f t="shared" si="6"/>
        <v>29523.62</v>
      </c>
      <c r="O17" s="496">
        <v>343569</v>
      </c>
      <c r="P17" s="526">
        <v>397106</v>
      </c>
      <c r="Q17" s="526">
        <v>397106</v>
      </c>
      <c r="R17" s="460">
        <f t="shared" si="2"/>
        <v>33092.17</v>
      </c>
      <c r="S17" s="458"/>
      <c r="T17" s="526"/>
      <c r="AB17" s="504"/>
    </row>
    <row r="18" spans="1:28" ht="12.75">
      <c r="A18" s="302">
        <v>9</v>
      </c>
      <c r="B18" s="504">
        <v>234857</v>
      </c>
      <c r="C18" s="497">
        <v>234857</v>
      </c>
      <c r="D18" s="460">
        <f t="shared" si="0"/>
        <v>19571.419999999998</v>
      </c>
      <c r="E18" s="457"/>
      <c r="F18" s="460">
        <v>0</v>
      </c>
      <c r="G18" s="460">
        <v>0</v>
      </c>
      <c r="H18" s="462"/>
      <c r="I18" s="463"/>
      <c r="J18" s="494">
        <v>311700</v>
      </c>
      <c r="K18" s="495">
        <v>3881</v>
      </c>
      <c r="L18" s="459">
        <f t="shared" si="4"/>
        <v>364756.40932499996</v>
      </c>
      <c r="M18" s="494">
        <f t="shared" si="5"/>
        <v>364756.40932499996</v>
      </c>
      <c r="N18" s="460">
        <f t="shared" si="6"/>
        <v>30396.37</v>
      </c>
      <c r="O18" s="496">
        <v>351244</v>
      </c>
      <c r="P18" s="526">
        <v>405977</v>
      </c>
      <c r="Q18" s="526">
        <v>405977</v>
      </c>
      <c r="R18" s="460">
        <f t="shared" si="2"/>
        <v>33831.42</v>
      </c>
      <c r="S18" s="458"/>
      <c r="T18" s="526"/>
      <c r="AB18" s="504"/>
    </row>
    <row r="19" spans="1:28" ht="12.75">
      <c r="A19" s="302">
        <v>10</v>
      </c>
      <c r="B19" s="505">
        <v>236717</v>
      </c>
      <c r="C19" s="498">
        <v>236717</v>
      </c>
      <c r="D19" s="460">
        <f t="shared" si="0"/>
        <v>19726.419999999998</v>
      </c>
      <c r="E19" s="457"/>
      <c r="F19" s="460">
        <v>0</v>
      </c>
      <c r="G19" s="460">
        <v>0</v>
      </c>
      <c r="H19" s="462"/>
      <c r="I19" s="457" t="s">
        <v>764</v>
      </c>
      <c r="J19" s="494">
        <v>359131</v>
      </c>
      <c r="K19" s="457">
        <v>0</v>
      </c>
      <c r="L19" s="459">
        <f t="shared" si="4"/>
        <v>415092.58807499998</v>
      </c>
      <c r="M19" s="494">
        <f t="shared" si="5"/>
        <v>415092.58807499998</v>
      </c>
      <c r="N19" s="460">
        <f t="shared" si="6"/>
        <v>34591.050000000003</v>
      </c>
      <c r="O19" s="496">
        <v>359131</v>
      </c>
      <c r="P19" s="526">
        <v>415093</v>
      </c>
      <c r="Q19" s="526">
        <v>415093</v>
      </c>
      <c r="R19" s="460">
        <f t="shared" si="2"/>
        <v>34591.08</v>
      </c>
      <c r="S19" s="458"/>
      <c r="T19" s="526"/>
      <c r="AB19" s="505"/>
    </row>
    <row r="20" spans="1:28" ht="12.75">
      <c r="A20" s="302">
        <v>11</v>
      </c>
      <c r="B20" s="504">
        <v>239930</v>
      </c>
      <c r="C20" s="497">
        <v>239930</v>
      </c>
      <c r="D20" s="460">
        <f t="shared" si="0"/>
        <v>19994.169999999998</v>
      </c>
      <c r="E20" s="457"/>
      <c r="F20" s="460">
        <v>0</v>
      </c>
      <c r="G20" s="460">
        <v>0</v>
      </c>
      <c r="H20" s="462"/>
      <c r="I20" s="457"/>
      <c r="J20" s="483"/>
      <c r="K20" s="457"/>
      <c r="L20" s="460">
        <v>0</v>
      </c>
      <c r="M20" s="460">
        <v>0</v>
      </c>
      <c r="N20" s="460">
        <f t="shared" si="6"/>
        <v>0</v>
      </c>
      <c r="O20" s="496">
        <v>367234</v>
      </c>
      <c r="P20" s="527">
        <v>424458</v>
      </c>
      <c r="Q20" s="527">
        <v>424458</v>
      </c>
      <c r="R20" s="460">
        <f t="shared" si="2"/>
        <v>35371.5</v>
      </c>
      <c r="S20" s="458"/>
      <c r="T20" s="527"/>
      <c r="AB20" s="504"/>
    </row>
    <row r="21" spans="1:28" ht="12.75">
      <c r="A21" s="302">
        <v>12</v>
      </c>
      <c r="B21" s="504">
        <v>244134</v>
      </c>
      <c r="C21" s="497">
        <v>244134</v>
      </c>
      <c r="D21" s="460">
        <f t="shared" si="0"/>
        <v>20344.5</v>
      </c>
      <c r="E21" s="457"/>
      <c r="F21" s="460">
        <v>0</v>
      </c>
      <c r="G21" s="460">
        <v>0</v>
      </c>
      <c r="H21" s="462"/>
      <c r="I21" s="457"/>
      <c r="J21" s="483"/>
      <c r="K21" s="457"/>
      <c r="L21" s="460">
        <v>0</v>
      </c>
      <c r="M21" s="460">
        <v>0</v>
      </c>
      <c r="N21" s="460">
        <f t="shared" si="6"/>
        <v>0</v>
      </c>
      <c r="O21" s="496">
        <v>384115</v>
      </c>
      <c r="P21" s="526">
        <v>443970</v>
      </c>
      <c r="Q21" s="526">
        <v>443970</v>
      </c>
      <c r="R21" s="460">
        <f t="shared" si="2"/>
        <v>36997.5</v>
      </c>
      <c r="S21" s="458"/>
      <c r="T21" s="526"/>
      <c r="AB21" s="504"/>
    </row>
    <row r="22" spans="1:28" ht="12.75">
      <c r="A22" s="302">
        <v>13</v>
      </c>
      <c r="B22" s="504">
        <v>248459</v>
      </c>
      <c r="C22" s="497">
        <v>248459</v>
      </c>
      <c r="D22" s="460">
        <f t="shared" si="0"/>
        <v>20704.919999999998</v>
      </c>
      <c r="E22" s="457"/>
      <c r="F22" s="460">
        <v>0</v>
      </c>
      <c r="G22" s="460">
        <v>0</v>
      </c>
      <c r="H22" s="462"/>
      <c r="I22" s="457"/>
      <c r="J22" s="483"/>
      <c r="K22" s="457"/>
      <c r="L22" s="460">
        <v>0</v>
      </c>
      <c r="M22" s="460">
        <v>0</v>
      </c>
      <c r="N22" s="460">
        <f t="shared" si="6"/>
        <v>0</v>
      </c>
      <c r="O22" s="496">
        <v>409894</v>
      </c>
      <c r="P22" s="526">
        <v>473766</v>
      </c>
      <c r="Q22" s="526">
        <v>473766</v>
      </c>
      <c r="R22" s="460">
        <f t="shared" si="2"/>
        <v>39480.5</v>
      </c>
      <c r="S22" s="458"/>
      <c r="T22" s="526"/>
      <c r="AB22" s="504"/>
    </row>
    <row r="23" spans="1:28" ht="12.75">
      <c r="A23" s="302">
        <v>14</v>
      </c>
      <c r="B23" s="504">
        <v>252901</v>
      </c>
      <c r="C23" s="497">
        <v>252901</v>
      </c>
      <c r="D23" s="460">
        <f t="shared" si="0"/>
        <v>21075.08</v>
      </c>
      <c r="E23" s="457"/>
      <c r="F23" s="460">
        <v>0</v>
      </c>
      <c r="G23" s="460">
        <v>0</v>
      </c>
      <c r="H23" s="462"/>
      <c r="I23" s="457"/>
      <c r="J23" s="483"/>
      <c r="K23" s="457"/>
      <c r="L23" s="460">
        <v>0</v>
      </c>
      <c r="M23" s="460">
        <v>0</v>
      </c>
      <c r="N23" s="460">
        <f t="shared" si="6"/>
        <v>0</v>
      </c>
      <c r="O23" s="496">
        <v>438508</v>
      </c>
      <c r="P23" s="528">
        <v>518792</v>
      </c>
      <c r="Q23" s="526">
        <v>506839</v>
      </c>
      <c r="R23" s="460">
        <f t="shared" si="2"/>
        <v>42236.58</v>
      </c>
      <c r="S23" s="458"/>
      <c r="T23" s="526"/>
      <c r="AB23" s="504"/>
    </row>
    <row r="24" spans="1:28" ht="12.75">
      <c r="A24" s="302">
        <v>15</v>
      </c>
      <c r="B24" s="505">
        <v>257301</v>
      </c>
      <c r="C24" s="498">
        <v>257301</v>
      </c>
      <c r="D24" s="460">
        <f t="shared" si="0"/>
        <v>21441.75</v>
      </c>
      <c r="E24" s="457"/>
      <c r="F24" s="460">
        <v>0</v>
      </c>
      <c r="G24" s="460">
        <v>0</v>
      </c>
      <c r="H24" s="462"/>
      <c r="I24" s="457"/>
      <c r="J24" s="483"/>
      <c r="K24" s="457"/>
      <c r="L24" s="460">
        <v>0</v>
      </c>
      <c r="M24" s="460">
        <v>0</v>
      </c>
      <c r="N24" s="460">
        <f t="shared" si="6"/>
        <v>0</v>
      </c>
      <c r="O24" s="496">
        <v>484363</v>
      </c>
      <c r="P24" s="528">
        <v>574910</v>
      </c>
      <c r="Q24" s="526">
        <v>559839</v>
      </c>
      <c r="R24" s="460">
        <f t="shared" si="2"/>
        <v>46653.25</v>
      </c>
      <c r="S24" s="458"/>
      <c r="T24" s="526"/>
      <c r="AB24" s="505"/>
    </row>
    <row r="25" spans="1:28" ht="12.75">
      <c r="A25" s="302">
        <v>16</v>
      </c>
      <c r="B25" s="503">
        <v>261806</v>
      </c>
      <c r="C25" s="497">
        <v>261806</v>
      </c>
      <c r="D25" s="460">
        <f t="shared" si="0"/>
        <v>21817.17</v>
      </c>
      <c r="E25" s="457"/>
      <c r="F25" s="460">
        <v>0</v>
      </c>
      <c r="G25" s="460">
        <v>0</v>
      </c>
      <c r="H25" s="462"/>
      <c r="I25" s="457"/>
      <c r="J25" s="483"/>
      <c r="K25" s="457"/>
      <c r="L25" s="460">
        <v>0</v>
      </c>
      <c r="M25" s="460">
        <v>0</v>
      </c>
      <c r="N25" s="460">
        <f t="shared" si="6"/>
        <v>0</v>
      </c>
      <c r="O25" s="496">
        <v>551144</v>
      </c>
      <c r="P25" s="529">
        <v>654761</v>
      </c>
      <c r="Q25" s="527">
        <v>637026</v>
      </c>
      <c r="R25" s="460">
        <f t="shared" si="2"/>
        <v>53085.5</v>
      </c>
      <c r="S25" s="458"/>
      <c r="T25" s="527"/>
      <c r="AB25" s="503"/>
    </row>
    <row r="26" spans="1:28" ht="12.75">
      <c r="A26" s="302">
        <v>17</v>
      </c>
      <c r="B26" s="504">
        <v>265676</v>
      </c>
      <c r="C26" s="497">
        <v>265676</v>
      </c>
      <c r="D26" s="460">
        <f t="shared" si="0"/>
        <v>22139.67</v>
      </c>
      <c r="E26" s="457"/>
      <c r="F26" s="460">
        <v>0</v>
      </c>
      <c r="G26" s="460">
        <v>0</v>
      </c>
      <c r="H26" s="462"/>
      <c r="I26" s="462"/>
      <c r="J26" s="484"/>
      <c r="K26" s="457"/>
      <c r="L26" s="460">
        <v>0</v>
      </c>
      <c r="M26" s="460">
        <v>0</v>
      </c>
      <c r="N26" s="460">
        <f t="shared" si="6"/>
        <v>0</v>
      </c>
      <c r="O26" s="457"/>
      <c r="P26" s="460">
        <v>0</v>
      </c>
      <c r="Q26" s="460">
        <v>0</v>
      </c>
      <c r="R26" s="460">
        <f t="shared" ref="R26:R65" si="7">ROUND(Q26/12,2)</f>
        <v>0</v>
      </c>
      <c r="S26" s="458"/>
      <c r="AB26" s="504"/>
    </row>
    <row r="27" spans="1:28" ht="12.75">
      <c r="A27" s="302">
        <v>18</v>
      </c>
      <c r="B27" s="504">
        <v>270652</v>
      </c>
      <c r="C27" s="497">
        <v>270652</v>
      </c>
      <c r="D27" s="460">
        <f t="shared" si="0"/>
        <v>22554.33</v>
      </c>
      <c r="E27" s="457"/>
      <c r="F27" s="460">
        <v>0</v>
      </c>
      <c r="G27" s="460">
        <v>0</v>
      </c>
      <c r="H27" s="462"/>
      <c r="I27" s="462"/>
      <c r="J27" s="484"/>
      <c r="K27" s="457"/>
      <c r="L27" s="460">
        <v>0</v>
      </c>
      <c r="M27" s="460">
        <v>0</v>
      </c>
      <c r="N27" s="460">
        <f t="shared" si="6"/>
        <v>0</v>
      </c>
      <c r="O27" s="457"/>
      <c r="P27" s="460">
        <v>0</v>
      </c>
      <c r="Q27" s="460">
        <v>0</v>
      </c>
      <c r="R27" s="460">
        <f t="shared" si="7"/>
        <v>0</v>
      </c>
      <c r="AB27" s="504"/>
    </row>
    <row r="28" spans="1:28" ht="12.75">
      <c r="A28" s="302">
        <v>19</v>
      </c>
      <c r="B28" s="504">
        <v>274476</v>
      </c>
      <c r="C28" s="497">
        <v>274476</v>
      </c>
      <c r="D28" s="460">
        <f t="shared" si="0"/>
        <v>22873</v>
      </c>
      <c r="E28" s="457"/>
      <c r="F28" s="460">
        <v>0</v>
      </c>
      <c r="G28" s="460">
        <v>0</v>
      </c>
      <c r="H28" s="462"/>
      <c r="I28" s="462"/>
      <c r="J28" s="484"/>
      <c r="K28" s="457"/>
      <c r="L28" s="460">
        <v>0</v>
      </c>
      <c r="M28" s="460">
        <v>0</v>
      </c>
      <c r="N28" s="460">
        <f t="shared" si="6"/>
        <v>0</v>
      </c>
      <c r="O28" s="457"/>
      <c r="P28" s="460">
        <v>0</v>
      </c>
      <c r="Q28" s="460">
        <v>0</v>
      </c>
      <c r="R28" s="460">
        <f t="shared" si="7"/>
        <v>0</v>
      </c>
      <c r="T28" s="497"/>
      <c r="AB28" s="504"/>
    </row>
    <row r="29" spans="1:28" ht="13.5" customHeight="1">
      <c r="A29" s="302">
        <v>20</v>
      </c>
      <c r="B29" s="505">
        <v>278439</v>
      </c>
      <c r="C29" s="498">
        <v>278439</v>
      </c>
      <c r="D29" s="460">
        <f t="shared" si="0"/>
        <v>23203.25</v>
      </c>
      <c r="E29" s="457"/>
      <c r="F29" s="460">
        <v>0</v>
      </c>
      <c r="G29" s="460">
        <v>0</v>
      </c>
      <c r="H29" s="462"/>
      <c r="I29" s="462"/>
      <c r="J29" s="484"/>
      <c r="K29" s="457"/>
      <c r="L29" s="460">
        <v>0</v>
      </c>
      <c r="M29" s="460">
        <v>0</v>
      </c>
      <c r="N29" s="460">
        <f t="shared" si="6"/>
        <v>0</v>
      </c>
      <c r="O29" s="457"/>
      <c r="P29" s="460">
        <v>0</v>
      </c>
      <c r="Q29" s="460">
        <v>0</v>
      </c>
      <c r="R29" s="460">
        <f t="shared" si="7"/>
        <v>0</v>
      </c>
      <c r="T29" s="498"/>
      <c r="AB29" s="505"/>
    </row>
    <row r="30" spans="1:28" ht="12.75">
      <c r="A30" s="302">
        <v>21</v>
      </c>
      <c r="B30" s="504">
        <v>283192</v>
      </c>
      <c r="C30" s="497">
        <v>283192</v>
      </c>
      <c r="D30" s="460">
        <f t="shared" si="0"/>
        <v>23599.33</v>
      </c>
      <c r="E30" s="457"/>
      <c r="F30" s="460">
        <v>0</v>
      </c>
      <c r="G30" s="460">
        <v>0</v>
      </c>
      <c r="H30" s="462"/>
      <c r="I30" s="462"/>
      <c r="J30" s="484"/>
      <c r="K30" s="457"/>
      <c r="L30" s="460">
        <v>0</v>
      </c>
      <c r="M30" s="460">
        <v>0</v>
      </c>
      <c r="N30" s="460">
        <f t="shared" si="6"/>
        <v>0</v>
      </c>
      <c r="O30" s="457"/>
      <c r="P30" s="460">
        <v>0</v>
      </c>
      <c r="Q30" s="460">
        <v>0</v>
      </c>
      <c r="R30" s="460">
        <f t="shared" si="7"/>
        <v>0</v>
      </c>
      <c r="T30" s="497"/>
      <c r="AB30" s="504"/>
    </row>
    <row r="31" spans="1:28" ht="12.75">
      <c r="A31" s="302">
        <v>22</v>
      </c>
      <c r="B31" s="504">
        <v>287245</v>
      </c>
      <c r="C31" s="497">
        <v>287245</v>
      </c>
      <c r="D31" s="460">
        <f t="shared" si="0"/>
        <v>23937.08</v>
      </c>
      <c r="E31" s="457"/>
      <c r="F31" s="460">
        <v>0</v>
      </c>
      <c r="G31" s="460">
        <v>0</v>
      </c>
      <c r="H31" s="462"/>
      <c r="I31" s="462"/>
      <c r="J31" s="484"/>
      <c r="K31" s="457"/>
      <c r="L31" s="460">
        <v>0</v>
      </c>
      <c r="M31" s="460">
        <v>0</v>
      </c>
      <c r="N31" s="460">
        <f t="shared" si="6"/>
        <v>0</v>
      </c>
      <c r="O31" s="457"/>
      <c r="P31" s="460">
        <v>0</v>
      </c>
      <c r="Q31" s="460">
        <v>0</v>
      </c>
      <c r="R31" s="460">
        <f t="shared" si="7"/>
        <v>0</v>
      </c>
      <c r="T31" s="497"/>
      <c r="AB31" s="504"/>
    </row>
    <row r="32" spans="1:28" ht="12.75">
      <c r="A32" s="302">
        <v>23</v>
      </c>
      <c r="B32" s="504">
        <v>291163</v>
      </c>
      <c r="C32" s="497">
        <v>291163</v>
      </c>
      <c r="D32" s="460">
        <f t="shared" si="0"/>
        <v>24263.58</v>
      </c>
      <c r="E32" s="457"/>
      <c r="F32" s="460">
        <v>0</v>
      </c>
      <c r="G32" s="460">
        <v>0</v>
      </c>
      <c r="H32" s="462"/>
      <c r="I32" s="462"/>
      <c r="J32" s="484"/>
      <c r="K32" s="457"/>
      <c r="L32" s="460">
        <v>0</v>
      </c>
      <c r="M32" s="460">
        <v>0</v>
      </c>
      <c r="N32" s="460">
        <f t="shared" si="6"/>
        <v>0</v>
      </c>
      <c r="O32" s="457"/>
      <c r="P32" s="460">
        <v>0</v>
      </c>
      <c r="Q32" s="460">
        <v>0</v>
      </c>
      <c r="R32" s="460">
        <f t="shared" si="7"/>
        <v>0</v>
      </c>
      <c r="T32" s="497"/>
      <c r="AB32" s="504"/>
    </row>
    <row r="33" spans="1:28" ht="12.75">
      <c r="A33" s="302">
        <v>24</v>
      </c>
      <c r="B33" s="504">
        <v>295216</v>
      </c>
      <c r="C33" s="497">
        <v>295216</v>
      </c>
      <c r="D33" s="460">
        <f t="shared" si="0"/>
        <v>24601.33</v>
      </c>
      <c r="E33" s="457"/>
      <c r="F33" s="460">
        <v>0</v>
      </c>
      <c r="G33" s="460">
        <v>0</v>
      </c>
      <c r="H33" s="462"/>
      <c r="I33" s="462"/>
      <c r="J33" s="484"/>
      <c r="K33" s="457"/>
      <c r="L33" s="460">
        <v>0</v>
      </c>
      <c r="M33" s="460">
        <v>0</v>
      </c>
      <c r="N33" s="460">
        <f t="shared" si="6"/>
        <v>0</v>
      </c>
      <c r="O33" s="457"/>
      <c r="P33" s="460">
        <v>0</v>
      </c>
      <c r="Q33" s="460">
        <v>0</v>
      </c>
      <c r="R33" s="460">
        <f t="shared" si="7"/>
        <v>0</v>
      </c>
      <c r="T33" s="497"/>
      <c r="AB33" s="504"/>
    </row>
    <row r="34" spans="1:28" ht="12.75">
      <c r="A34" s="302">
        <v>25</v>
      </c>
      <c r="B34" s="505">
        <v>299334</v>
      </c>
      <c r="C34" s="498">
        <v>299334</v>
      </c>
      <c r="D34" s="460">
        <f t="shared" si="0"/>
        <v>24944.5</v>
      </c>
      <c r="E34" s="457"/>
      <c r="F34" s="460">
        <v>0</v>
      </c>
      <c r="G34" s="460">
        <v>0</v>
      </c>
      <c r="H34" s="462"/>
      <c r="I34" s="462"/>
      <c r="J34" s="484"/>
      <c r="K34" s="457"/>
      <c r="L34" s="460">
        <v>0</v>
      </c>
      <c r="M34" s="460">
        <v>0</v>
      </c>
      <c r="N34" s="460">
        <f t="shared" si="6"/>
        <v>0</v>
      </c>
      <c r="O34" s="457"/>
      <c r="P34" s="460">
        <v>0</v>
      </c>
      <c r="Q34" s="460">
        <v>0</v>
      </c>
      <c r="R34" s="460">
        <f t="shared" si="7"/>
        <v>0</v>
      </c>
      <c r="T34" s="498"/>
      <c r="AB34" s="505"/>
    </row>
    <row r="35" spans="1:28" ht="12.75">
      <c r="A35" s="302">
        <v>26</v>
      </c>
      <c r="B35" s="504">
        <v>303526</v>
      </c>
      <c r="C35" s="497">
        <v>303526</v>
      </c>
      <c r="D35" s="460">
        <f t="shared" si="0"/>
        <v>25293.83</v>
      </c>
      <c r="E35" s="457"/>
      <c r="F35" s="460">
        <v>0</v>
      </c>
      <c r="G35" s="460">
        <v>0</v>
      </c>
      <c r="H35" s="462"/>
      <c r="I35" s="462"/>
      <c r="J35" s="484"/>
      <c r="K35" s="457"/>
      <c r="L35" s="460">
        <v>0</v>
      </c>
      <c r="M35" s="460">
        <v>0</v>
      </c>
      <c r="N35" s="460">
        <f t="shared" si="6"/>
        <v>0</v>
      </c>
      <c r="O35" s="457"/>
      <c r="P35" s="460">
        <v>0</v>
      </c>
      <c r="Q35" s="460">
        <v>0</v>
      </c>
      <c r="R35" s="460">
        <f t="shared" si="7"/>
        <v>0</v>
      </c>
      <c r="T35" s="497"/>
      <c r="AB35" s="504"/>
    </row>
    <row r="36" spans="1:28" ht="12.75">
      <c r="A36" s="302">
        <v>27</v>
      </c>
      <c r="B36" s="504">
        <v>307788</v>
      </c>
      <c r="C36" s="497">
        <v>307788</v>
      </c>
      <c r="D36" s="460">
        <f t="shared" si="0"/>
        <v>25649</v>
      </c>
      <c r="E36" s="457"/>
      <c r="F36" s="460">
        <v>0</v>
      </c>
      <c r="G36" s="460">
        <v>0</v>
      </c>
      <c r="H36" s="462"/>
      <c r="I36" s="462"/>
      <c r="J36" s="484"/>
      <c r="K36" s="457"/>
      <c r="L36" s="460">
        <v>0</v>
      </c>
      <c r="M36" s="460">
        <v>0</v>
      </c>
      <c r="N36" s="460">
        <f t="shared" si="6"/>
        <v>0</v>
      </c>
      <c r="O36" s="457"/>
      <c r="P36" s="460">
        <v>0</v>
      </c>
      <c r="Q36" s="460">
        <v>0</v>
      </c>
      <c r="R36" s="460">
        <f t="shared" si="7"/>
        <v>0</v>
      </c>
      <c r="T36" s="497"/>
      <c r="AB36" s="504"/>
    </row>
    <row r="37" spans="1:28" ht="12.75">
      <c r="A37" s="302">
        <v>28</v>
      </c>
      <c r="B37" s="504">
        <v>312121</v>
      </c>
      <c r="C37" s="497">
        <v>312121</v>
      </c>
      <c r="D37" s="460">
        <f t="shared" si="0"/>
        <v>26010.080000000002</v>
      </c>
      <c r="E37" s="457"/>
      <c r="F37" s="460">
        <v>0</v>
      </c>
      <c r="G37" s="460">
        <v>0</v>
      </c>
      <c r="H37" s="462"/>
      <c r="I37" s="462"/>
      <c r="J37" s="484"/>
      <c r="K37" s="457"/>
      <c r="L37" s="460">
        <v>0</v>
      </c>
      <c r="M37" s="460">
        <v>0</v>
      </c>
      <c r="N37" s="460">
        <f t="shared" si="6"/>
        <v>0</v>
      </c>
      <c r="O37" s="457"/>
      <c r="P37" s="460">
        <v>0</v>
      </c>
      <c r="Q37" s="460">
        <v>0</v>
      </c>
      <c r="R37" s="460">
        <f t="shared" si="7"/>
        <v>0</v>
      </c>
      <c r="T37" s="497"/>
      <c r="AB37" s="504"/>
    </row>
    <row r="38" spans="1:28" ht="12.75">
      <c r="A38" s="302">
        <v>29</v>
      </c>
      <c r="B38" s="504">
        <v>316528</v>
      </c>
      <c r="C38" s="497">
        <v>316528</v>
      </c>
      <c r="D38" s="460">
        <f t="shared" si="0"/>
        <v>26377.33</v>
      </c>
      <c r="E38" s="457"/>
      <c r="F38" s="460">
        <v>0</v>
      </c>
      <c r="G38" s="460">
        <v>0</v>
      </c>
      <c r="H38" s="462"/>
      <c r="I38" s="462"/>
      <c r="J38" s="484"/>
      <c r="K38" s="457"/>
      <c r="L38" s="460">
        <v>0</v>
      </c>
      <c r="M38" s="460">
        <v>0</v>
      </c>
      <c r="N38" s="460">
        <f t="shared" si="6"/>
        <v>0</v>
      </c>
      <c r="O38" s="457"/>
      <c r="P38" s="460">
        <v>0</v>
      </c>
      <c r="Q38" s="460">
        <v>0</v>
      </c>
      <c r="R38" s="460">
        <f t="shared" si="7"/>
        <v>0</v>
      </c>
      <c r="T38" s="497"/>
      <c r="AB38" s="504"/>
    </row>
    <row r="39" spans="1:28" ht="12.75">
      <c r="A39" s="302">
        <v>30</v>
      </c>
      <c r="B39" s="505">
        <v>321004</v>
      </c>
      <c r="C39" s="498">
        <v>321004</v>
      </c>
      <c r="D39" s="460">
        <f t="shared" si="0"/>
        <v>26750.33</v>
      </c>
      <c r="E39" s="457"/>
      <c r="F39" s="460">
        <v>0</v>
      </c>
      <c r="G39" s="460">
        <v>0</v>
      </c>
      <c r="H39" s="462"/>
      <c r="I39" s="462"/>
      <c r="J39" s="484"/>
      <c r="K39" s="457"/>
      <c r="L39" s="460">
        <v>0</v>
      </c>
      <c r="M39" s="460">
        <v>0</v>
      </c>
      <c r="N39" s="460">
        <f t="shared" si="6"/>
        <v>0</v>
      </c>
      <c r="O39" s="457"/>
      <c r="P39" s="460">
        <v>0</v>
      </c>
      <c r="Q39" s="460">
        <v>0</v>
      </c>
      <c r="R39" s="460">
        <f t="shared" si="7"/>
        <v>0</v>
      </c>
      <c r="T39" s="498"/>
      <c r="AB39" s="505"/>
    </row>
    <row r="40" spans="1:28" ht="12.75">
      <c r="A40" s="302">
        <v>31</v>
      </c>
      <c r="B40" s="503">
        <v>325558</v>
      </c>
      <c r="C40" s="497">
        <v>325558</v>
      </c>
      <c r="D40" s="460">
        <f t="shared" si="0"/>
        <v>27129.83</v>
      </c>
      <c r="E40" s="457"/>
      <c r="F40" s="460">
        <v>0</v>
      </c>
      <c r="G40" s="460">
        <v>0</v>
      </c>
      <c r="H40" s="462"/>
      <c r="I40" s="462"/>
      <c r="J40" s="484"/>
      <c r="K40" s="457"/>
      <c r="L40" s="460">
        <v>0</v>
      </c>
      <c r="M40" s="460">
        <v>0</v>
      </c>
      <c r="N40" s="460">
        <f t="shared" si="6"/>
        <v>0</v>
      </c>
      <c r="O40" s="457"/>
      <c r="P40" s="460">
        <v>0</v>
      </c>
      <c r="Q40" s="460">
        <v>0</v>
      </c>
      <c r="R40" s="460">
        <f t="shared" si="7"/>
        <v>0</v>
      </c>
      <c r="T40" s="497"/>
      <c r="AB40" s="503"/>
    </row>
    <row r="41" spans="1:28" ht="12.75">
      <c r="A41" s="302">
        <v>32</v>
      </c>
      <c r="B41" s="504">
        <v>330183</v>
      </c>
      <c r="C41" s="497">
        <v>330183</v>
      </c>
      <c r="D41" s="460">
        <f t="shared" si="0"/>
        <v>27515.25</v>
      </c>
      <c r="E41" s="457"/>
      <c r="F41" s="460">
        <v>0</v>
      </c>
      <c r="G41" s="460">
        <v>0</v>
      </c>
      <c r="H41" s="462"/>
      <c r="I41" s="462"/>
      <c r="J41" s="484"/>
      <c r="K41" s="457"/>
      <c r="L41" s="460">
        <v>0</v>
      </c>
      <c r="M41" s="460">
        <v>0</v>
      </c>
      <c r="N41" s="460">
        <f t="shared" si="6"/>
        <v>0</v>
      </c>
      <c r="O41" s="457"/>
      <c r="P41" s="460">
        <v>0</v>
      </c>
      <c r="Q41" s="460">
        <v>0</v>
      </c>
      <c r="R41" s="460">
        <f t="shared" si="7"/>
        <v>0</v>
      </c>
      <c r="T41" s="497"/>
      <c r="AB41" s="504"/>
    </row>
    <row r="42" spans="1:28" ht="12.75">
      <c r="A42" s="302">
        <v>33</v>
      </c>
      <c r="B42" s="504">
        <v>334881</v>
      </c>
      <c r="C42" s="497">
        <v>334881</v>
      </c>
      <c r="D42" s="460">
        <f t="shared" ref="D42:D65" si="8">ROUND(C42/12,2)</f>
        <v>27906.75</v>
      </c>
      <c r="E42" s="457"/>
      <c r="F42" s="460">
        <v>0</v>
      </c>
      <c r="G42" s="460">
        <v>0</v>
      </c>
      <c r="H42" s="462"/>
      <c r="I42" s="462"/>
      <c r="J42" s="484"/>
      <c r="K42" s="457"/>
      <c r="L42" s="460">
        <v>0</v>
      </c>
      <c r="M42" s="460">
        <v>0</v>
      </c>
      <c r="N42" s="460">
        <f t="shared" si="6"/>
        <v>0</v>
      </c>
      <c r="O42" s="457"/>
      <c r="P42" s="460">
        <v>0</v>
      </c>
      <c r="Q42" s="460">
        <v>0</v>
      </c>
      <c r="R42" s="460">
        <f t="shared" si="7"/>
        <v>0</v>
      </c>
      <c r="T42" s="497"/>
      <c r="AB42" s="504"/>
    </row>
    <row r="43" spans="1:28" ht="12.75">
      <c r="A43" s="302">
        <v>34</v>
      </c>
      <c r="B43" s="504">
        <v>339662</v>
      </c>
      <c r="C43" s="497">
        <v>339662</v>
      </c>
      <c r="D43" s="460">
        <f t="shared" si="8"/>
        <v>28305.17</v>
      </c>
      <c r="E43" s="457"/>
      <c r="F43" s="460">
        <v>0</v>
      </c>
      <c r="G43" s="460">
        <v>0</v>
      </c>
      <c r="H43" s="462"/>
      <c r="I43" s="462"/>
      <c r="J43" s="484"/>
      <c r="K43" s="457"/>
      <c r="L43" s="460">
        <v>0</v>
      </c>
      <c r="M43" s="460">
        <v>0</v>
      </c>
      <c r="N43" s="460">
        <f t="shared" si="6"/>
        <v>0</v>
      </c>
      <c r="O43" s="457"/>
      <c r="P43" s="460">
        <v>0</v>
      </c>
      <c r="Q43" s="460">
        <v>0</v>
      </c>
      <c r="R43" s="460">
        <f t="shared" si="7"/>
        <v>0</v>
      </c>
      <c r="T43" s="497"/>
      <c r="AB43" s="504"/>
    </row>
    <row r="44" spans="1:28" ht="12.75">
      <c r="A44" s="302">
        <v>35</v>
      </c>
      <c r="B44" s="505">
        <v>344512</v>
      </c>
      <c r="C44" s="498">
        <v>344512</v>
      </c>
      <c r="D44" s="460">
        <f t="shared" si="8"/>
        <v>28709.33</v>
      </c>
      <c r="E44" s="457"/>
      <c r="F44" s="460">
        <v>0</v>
      </c>
      <c r="G44" s="460">
        <v>0</v>
      </c>
      <c r="H44" s="462"/>
      <c r="I44" s="462"/>
      <c r="J44" s="484"/>
      <c r="K44" s="457"/>
      <c r="L44" s="460">
        <v>0</v>
      </c>
      <c r="M44" s="460">
        <v>0</v>
      </c>
      <c r="N44" s="460">
        <f t="shared" si="6"/>
        <v>0</v>
      </c>
      <c r="O44" s="457"/>
      <c r="P44" s="460">
        <v>0</v>
      </c>
      <c r="Q44" s="460">
        <v>0</v>
      </c>
      <c r="R44" s="460">
        <f t="shared" si="7"/>
        <v>0</v>
      </c>
      <c r="T44" s="498"/>
      <c r="AB44" s="505"/>
    </row>
    <row r="45" spans="1:28" ht="12.75">
      <c r="A45" s="302">
        <v>36</v>
      </c>
      <c r="B45" s="504">
        <v>349440</v>
      </c>
      <c r="C45" s="497">
        <v>349440</v>
      </c>
      <c r="D45" s="460">
        <f t="shared" si="8"/>
        <v>29120</v>
      </c>
      <c r="E45" s="457"/>
      <c r="F45" s="460">
        <v>0</v>
      </c>
      <c r="G45" s="460">
        <v>0</v>
      </c>
      <c r="H45" s="462"/>
      <c r="I45" s="462"/>
      <c r="J45" s="484"/>
      <c r="K45" s="457"/>
      <c r="L45" s="460">
        <v>0</v>
      </c>
      <c r="M45" s="460">
        <v>0</v>
      </c>
      <c r="N45" s="460">
        <f t="shared" si="6"/>
        <v>0</v>
      </c>
      <c r="O45" s="457"/>
      <c r="P45" s="460">
        <v>0</v>
      </c>
      <c r="Q45" s="460">
        <v>0</v>
      </c>
      <c r="R45" s="460">
        <f t="shared" si="7"/>
        <v>0</v>
      </c>
      <c r="T45" s="497"/>
      <c r="AB45" s="504"/>
    </row>
    <row r="46" spans="1:28" ht="12.75">
      <c r="A46" s="302">
        <v>37</v>
      </c>
      <c r="B46" s="504">
        <v>354444</v>
      </c>
      <c r="C46" s="497">
        <v>354444</v>
      </c>
      <c r="D46" s="460">
        <f t="shared" si="8"/>
        <v>29537</v>
      </c>
      <c r="E46" s="457"/>
      <c r="F46" s="460">
        <v>0</v>
      </c>
      <c r="G46" s="460">
        <v>0</v>
      </c>
      <c r="H46" s="462"/>
      <c r="I46" s="462"/>
      <c r="J46" s="484"/>
      <c r="K46" s="457"/>
      <c r="L46" s="460">
        <v>0</v>
      </c>
      <c r="M46" s="460">
        <v>0</v>
      </c>
      <c r="N46" s="460">
        <f t="shared" si="6"/>
        <v>0</v>
      </c>
      <c r="O46" s="457"/>
      <c r="P46" s="460">
        <v>0</v>
      </c>
      <c r="Q46" s="460">
        <v>0</v>
      </c>
      <c r="R46" s="460">
        <f t="shared" si="7"/>
        <v>0</v>
      </c>
      <c r="T46" s="497"/>
      <c r="AB46" s="504"/>
    </row>
    <row r="47" spans="1:28" ht="12.75">
      <c r="A47" s="302">
        <v>38</v>
      </c>
      <c r="B47" s="504">
        <v>359852</v>
      </c>
      <c r="C47" s="497">
        <v>359852</v>
      </c>
      <c r="D47" s="460">
        <f t="shared" si="8"/>
        <v>29987.67</v>
      </c>
      <c r="E47" s="457"/>
      <c r="F47" s="460">
        <v>0</v>
      </c>
      <c r="G47" s="460">
        <v>0</v>
      </c>
      <c r="H47" s="462"/>
      <c r="I47" s="462"/>
      <c r="J47" s="484"/>
      <c r="K47" s="457"/>
      <c r="L47" s="460">
        <v>0</v>
      </c>
      <c r="M47" s="460">
        <v>0</v>
      </c>
      <c r="N47" s="460">
        <f t="shared" si="6"/>
        <v>0</v>
      </c>
      <c r="O47" s="457"/>
      <c r="P47" s="460">
        <v>0</v>
      </c>
      <c r="Q47" s="460">
        <v>0</v>
      </c>
      <c r="R47" s="460">
        <f t="shared" si="7"/>
        <v>0</v>
      </c>
      <c r="T47" s="497"/>
      <c r="AB47" s="504"/>
    </row>
    <row r="48" spans="1:28" ht="12.75">
      <c r="A48" s="302">
        <v>39</v>
      </c>
      <c r="B48" s="504">
        <v>365117</v>
      </c>
      <c r="C48" s="497">
        <v>365117</v>
      </c>
      <c r="D48" s="460">
        <f t="shared" si="8"/>
        <v>30426.42</v>
      </c>
      <c r="E48" s="457"/>
      <c r="F48" s="460">
        <v>0</v>
      </c>
      <c r="G48" s="460">
        <v>0</v>
      </c>
      <c r="H48" s="462"/>
      <c r="I48" s="462"/>
      <c r="J48" s="484"/>
      <c r="K48" s="457"/>
      <c r="L48" s="460">
        <v>0</v>
      </c>
      <c r="M48" s="460">
        <v>0</v>
      </c>
      <c r="N48" s="460">
        <f t="shared" si="6"/>
        <v>0</v>
      </c>
      <c r="O48" s="457"/>
      <c r="P48" s="460">
        <v>0</v>
      </c>
      <c r="Q48" s="460">
        <v>0</v>
      </c>
      <c r="R48" s="460">
        <f t="shared" si="7"/>
        <v>0</v>
      </c>
      <c r="T48" s="497"/>
      <c r="AB48" s="504"/>
    </row>
    <row r="49" spans="1:28" ht="12.75">
      <c r="A49" s="302">
        <v>40</v>
      </c>
      <c r="B49" s="505">
        <v>370465</v>
      </c>
      <c r="C49" s="498">
        <v>370465</v>
      </c>
      <c r="D49" s="460">
        <f t="shared" si="8"/>
        <v>30872.080000000002</v>
      </c>
      <c r="E49" s="457"/>
      <c r="F49" s="460">
        <v>0</v>
      </c>
      <c r="G49" s="460">
        <v>0</v>
      </c>
      <c r="H49" s="462"/>
      <c r="I49" s="462"/>
      <c r="J49" s="484"/>
      <c r="K49" s="457"/>
      <c r="L49" s="460">
        <v>0</v>
      </c>
      <c r="M49" s="460">
        <v>0</v>
      </c>
      <c r="N49" s="460">
        <f t="shared" si="6"/>
        <v>0</v>
      </c>
      <c r="O49" s="457"/>
      <c r="P49" s="460">
        <v>0</v>
      </c>
      <c r="Q49" s="460">
        <v>0</v>
      </c>
      <c r="R49" s="460">
        <f t="shared" si="7"/>
        <v>0</v>
      </c>
      <c r="T49" s="498"/>
      <c r="AB49" s="505"/>
    </row>
    <row r="50" spans="1:28" ht="12.75">
      <c r="A50" s="302">
        <v>41</v>
      </c>
      <c r="B50" s="503">
        <v>375890</v>
      </c>
      <c r="C50" s="499">
        <v>375890</v>
      </c>
      <c r="D50" s="460">
        <f t="shared" si="8"/>
        <v>31324.17</v>
      </c>
      <c r="E50" s="457"/>
      <c r="F50" s="460">
        <v>0</v>
      </c>
      <c r="G50" s="460">
        <v>0</v>
      </c>
      <c r="H50" s="462"/>
      <c r="I50" s="462"/>
      <c r="J50" s="484"/>
      <c r="K50" s="457"/>
      <c r="L50" s="460">
        <v>0</v>
      </c>
      <c r="M50" s="460">
        <v>0</v>
      </c>
      <c r="N50" s="460">
        <f t="shared" si="6"/>
        <v>0</v>
      </c>
      <c r="O50" s="457"/>
      <c r="P50" s="460">
        <v>0</v>
      </c>
      <c r="Q50" s="460">
        <v>0</v>
      </c>
      <c r="R50" s="460">
        <f t="shared" si="7"/>
        <v>0</v>
      </c>
      <c r="T50" s="499"/>
      <c r="AB50" s="503"/>
    </row>
    <row r="51" spans="1:28" ht="12.75">
      <c r="A51" s="302">
        <v>42</v>
      </c>
      <c r="B51" s="506">
        <v>381394</v>
      </c>
      <c r="C51" s="500">
        <v>381394</v>
      </c>
      <c r="D51" s="460">
        <f t="shared" si="8"/>
        <v>31782.83</v>
      </c>
      <c r="E51" s="457"/>
      <c r="F51" s="460">
        <v>0</v>
      </c>
      <c r="G51" s="460">
        <v>0</v>
      </c>
      <c r="H51" s="462"/>
      <c r="I51" s="462"/>
      <c r="J51" s="484"/>
      <c r="K51" s="457"/>
      <c r="L51" s="460">
        <v>0</v>
      </c>
      <c r="M51" s="460">
        <v>0</v>
      </c>
      <c r="N51" s="460">
        <f t="shared" si="6"/>
        <v>0</v>
      </c>
      <c r="O51" s="457"/>
      <c r="P51" s="460">
        <v>0</v>
      </c>
      <c r="Q51" s="460">
        <v>0</v>
      </c>
      <c r="R51" s="460">
        <f t="shared" si="7"/>
        <v>0</v>
      </c>
      <c r="T51" s="500"/>
      <c r="AB51" s="506"/>
    </row>
    <row r="52" spans="1:28" ht="12.75">
      <c r="A52" s="302">
        <v>43</v>
      </c>
      <c r="B52" s="506">
        <v>389871</v>
      </c>
      <c r="C52" s="500">
        <v>389871</v>
      </c>
      <c r="D52" s="460">
        <f t="shared" si="8"/>
        <v>32489.25</v>
      </c>
      <c r="E52" s="457"/>
      <c r="F52" s="460">
        <v>0</v>
      </c>
      <c r="G52" s="460">
        <v>0</v>
      </c>
      <c r="H52" s="462"/>
      <c r="I52" s="462"/>
      <c r="J52" s="484"/>
      <c r="K52" s="457"/>
      <c r="L52" s="460">
        <v>0</v>
      </c>
      <c r="M52" s="460">
        <v>0</v>
      </c>
      <c r="N52" s="460">
        <f t="shared" si="6"/>
        <v>0</v>
      </c>
      <c r="O52" s="457"/>
      <c r="P52" s="460">
        <v>0</v>
      </c>
      <c r="Q52" s="460">
        <v>0</v>
      </c>
      <c r="R52" s="460">
        <f t="shared" si="7"/>
        <v>0</v>
      </c>
      <c r="T52" s="500"/>
      <c r="AB52" s="506"/>
    </row>
    <row r="53" spans="1:28" ht="12.75">
      <c r="A53" s="302">
        <v>44</v>
      </c>
      <c r="B53" s="506">
        <v>398581</v>
      </c>
      <c r="C53" s="500">
        <v>398581</v>
      </c>
      <c r="D53" s="460">
        <f t="shared" si="8"/>
        <v>33215.08</v>
      </c>
      <c r="E53" s="457"/>
      <c r="F53" s="460">
        <v>0</v>
      </c>
      <c r="G53" s="460">
        <v>0</v>
      </c>
      <c r="H53" s="462"/>
      <c r="I53" s="462"/>
      <c r="J53" s="484"/>
      <c r="K53" s="457"/>
      <c r="L53" s="460">
        <v>0</v>
      </c>
      <c r="M53" s="460">
        <v>0</v>
      </c>
      <c r="N53" s="460">
        <f t="shared" si="6"/>
        <v>0</v>
      </c>
      <c r="O53" s="457"/>
      <c r="P53" s="460">
        <v>0</v>
      </c>
      <c r="Q53" s="460">
        <v>0</v>
      </c>
      <c r="R53" s="460">
        <f t="shared" si="7"/>
        <v>0</v>
      </c>
      <c r="T53" s="500"/>
      <c r="AB53" s="506"/>
    </row>
    <row r="54" spans="1:28" ht="12.75">
      <c r="A54" s="302">
        <v>45</v>
      </c>
      <c r="B54" s="507">
        <v>407530</v>
      </c>
      <c r="C54" s="501">
        <v>407530</v>
      </c>
      <c r="D54" s="460">
        <f t="shared" si="8"/>
        <v>33960.83</v>
      </c>
      <c r="E54" s="457"/>
      <c r="F54" s="460">
        <v>0</v>
      </c>
      <c r="G54" s="460">
        <v>0</v>
      </c>
      <c r="H54" s="462"/>
      <c r="I54" s="462"/>
      <c r="J54" s="484"/>
      <c r="K54" s="457"/>
      <c r="L54" s="460">
        <v>0</v>
      </c>
      <c r="M54" s="460">
        <v>0</v>
      </c>
      <c r="N54" s="460">
        <f t="shared" si="6"/>
        <v>0</v>
      </c>
      <c r="O54" s="457"/>
      <c r="P54" s="460">
        <v>0</v>
      </c>
      <c r="Q54" s="460">
        <v>0</v>
      </c>
      <c r="R54" s="460">
        <f t="shared" si="7"/>
        <v>0</v>
      </c>
      <c r="T54" s="501"/>
      <c r="AB54" s="507"/>
    </row>
    <row r="55" spans="1:28" ht="12.75">
      <c r="A55" s="302">
        <v>46</v>
      </c>
      <c r="B55" s="506">
        <v>416726</v>
      </c>
      <c r="C55" s="500">
        <v>416726</v>
      </c>
      <c r="D55" s="460">
        <f t="shared" si="8"/>
        <v>34727.17</v>
      </c>
      <c r="E55" s="457"/>
      <c r="F55" s="460">
        <v>0</v>
      </c>
      <c r="G55" s="460">
        <v>0</v>
      </c>
      <c r="H55" s="462"/>
      <c r="I55" s="462"/>
      <c r="J55" s="484"/>
      <c r="K55" s="457"/>
      <c r="L55" s="460">
        <v>0</v>
      </c>
      <c r="M55" s="460">
        <v>0</v>
      </c>
      <c r="N55" s="460">
        <f t="shared" si="6"/>
        <v>0</v>
      </c>
      <c r="O55" s="457"/>
      <c r="P55" s="460">
        <v>0</v>
      </c>
      <c r="Q55" s="460">
        <v>0</v>
      </c>
      <c r="R55" s="460">
        <f t="shared" si="7"/>
        <v>0</v>
      </c>
      <c r="T55" s="500"/>
      <c r="AB55" s="506"/>
    </row>
    <row r="56" spans="1:28" ht="12.75">
      <c r="A56" s="302">
        <v>47</v>
      </c>
      <c r="B56" s="506">
        <v>424144</v>
      </c>
      <c r="C56" s="500">
        <v>424144</v>
      </c>
      <c r="D56" s="460">
        <f t="shared" si="8"/>
        <v>35345.33</v>
      </c>
      <c r="E56" s="457"/>
      <c r="F56" s="460">
        <v>0</v>
      </c>
      <c r="G56" s="460">
        <v>0</v>
      </c>
      <c r="H56" s="462"/>
      <c r="I56" s="462"/>
      <c r="J56" s="484"/>
      <c r="K56" s="457"/>
      <c r="L56" s="460">
        <v>0</v>
      </c>
      <c r="M56" s="460">
        <v>0</v>
      </c>
      <c r="N56" s="460">
        <f t="shared" si="6"/>
        <v>0</v>
      </c>
      <c r="O56" s="457"/>
      <c r="P56" s="460">
        <v>0</v>
      </c>
      <c r="Q56" s="460">
        <v>0</v>
      </c>
      <c r="R56" s="460">
        <f t="shared" si="7"/>
        <v>0</v>
      </c>
      <c r="T56" s="500"/>
      <c r="AB56" s="506"/>
    </row>
    <row r="57" spans="1:28" ht="12.75">
      <c r="A57" s="302">
        <v>48</v>
      </c>
      <c r="B57" s="506">
        <v>443641</v>
      </c>
      <c r="C57" s="500">
        <v>443641</v>
      </c>
      <c r="D57" s="460">
        <f t="shared" si="8"/>
        <v>36970.080000000002</v>
      </c>
      <c r="E57" s="457"/>
      <c r="F57" s="460">
        <v>0</v>
      </c>
      <c r="G57" s="460">
        <v>0</v>
      </c>
      <c r="H57" s="462"/>
      <c r="I57" s="462"/>
      <c r="J57" s="484"/>
      <c r="K57" s="457"/>
      <c r="L57" s="460">
        <v>0</v>
      </c>
      <c r="M57" s="460">
        <v>0</v>
      </c>
      <c r="N57" s="460">
        <f t="shared" si="6"/>
        <v>0</v>
      </c>
      <c r="O57" s="457"/>
      <c r="P57" s="460">
        <v>0</v>
      </c>
      <c r="Q57" s="460">
        <v>0</v>
      </c>
      <c r="R57" s="460">
        <f t="shared" si="7"/>
        <v>0</v>
      </c>
      <c r="T57" s="500"/>
      <c r="AB57" s="506"/>
    </row>
    <row r="58" spans="1:28" ht="12.75">
      <c r="A58" s="302">
        <v>49</v>
      </c>
      <c r="B58" s="506">
        <v>473414</v>
      </c>
      <c r="C58" s="500">
        <v>473414</v>
      </c>
      <c r="D58" s="460">
        <f t="shared" si="8"/>
        <v>39451.17</v>
      </c>
      <c r="E58" s="457"/>
      <c r="F58" s="460">
        <v>0</v>
      </c>
      <c r="G58" s="460">
        <v>0</v>
      </c>
      <c r="H58" s="462"/>
      <c r="I58" s="462"/>
      <c r="J58" s="484"/>
      <c r="K58" s="457"/>
      <c r="L58" s="460">
        <v>0</v>
      </c>
      <c r="M58" s="460">
        <v>0</v>
      </c>
      <c r="N58" s="460">
        <f t="shared" si="6"/>
        <v>0</v>
      </c>
      <c r="O58" s="457"/>
      <c r="P58" s="460">
        <v>0</v>
      </c>
      <c r="Q58" s="460">
        <v>0</v>
      </c>
      <c r="R58" s="460">
        <f t="shared" si="7"/>
        <v>0</v>
      </c>
      <c r="T58" s="500"/>
      <c r="AB58" s="506"/>
    </row>
    <row r="59" spans="1:28" ht="12.75">
      <c r="A59" s="302">
        <v>50</v>
      </c>
      <c r="B59" s="507">
        <v>518407</v>
      </c>
      <c r="C59" s="501">
        <v>506461</v>
      </c>
      <c r="D59" s="460">
        <f t="shared" si="8"/>
        <v>42205.08</v>
      </c>
      <c r="E59" s="457"/>
      <c r="F59" s="460">
        <v>0</v>
      </c>
      <c r="G59" s="460">
        <v>0</v>
      </c>
      <c r="H59" s="462"/>
      <c r="I59" s="462"/>
      <c r="J59" s="484"/>
      <c r="K59" s="457"/>
      <c r="L59" s="460">
        <v>0</v>
      </c>
      <c r="M59" s="460">
        <v>0</v>
      </c>
      <c r="N59" s="460">
        <f t="shared" si="6"/>
        <v>0</v>
      </c>
      <c r="O59" s="457"/>
      <c r="P59" s="460">
        <v>0</v>
      </c>
      <c r="Q59" s="460">
        <v>0</v>
      </c>
      <c r="R59" s="460">
        <f t="shared" si="7"/>
        <v>0</v>
      </c>
      <c r="T59" s="501"/>
      <c r="AB59" s="507"/>
    </row>
    <row r="60" spans="1:28" ht="12.75">
      <c r="A60" s="302">
        <v>51</v>
      </c>
      <c r="B60" s="506">
        <v>574482</v>
      </c>
      <c r="C60" s="500">
        <v>559424</v>
      </c>
      <c r="D60" s="460">
        <f t="shared" si="8"/>
        <v>46618.67</v>
      </c>
      <c r="E60" s="457"/>
      <c r="F60" s="460">
        <v>0</v>
      </c>
      <c r="G60" s="460">
        <v>0</v>
      </c>
      <c r="H60" s="462"/>
      <c r="I60" s="462"/>
      <c r="J60" s="484"/>
      <c r="K60" s="457"/>
      <c r="L60" s="460">
        <v>0</v>
      </c>
      <c r="M60" s="460">
        <v>0</v>
      </c>
      <c r="N60" s="460">
        <f t="shared" si="6"/>
        <v>0</v>
      </c>
      <c r="O60" s="457"/>
      <c r="P60" s="460">
        <v>0</v>
      </c>
      <c r="Q60" s="460">
        <v>0</v>
      </c>
      <c r="R60" s="460">
        <f t="shared" si="7"/>
        <v>0</v>
      </c>
      <c r="T60" s="500"/>
      <c r="AB60" s="506"/>
    </row>
    <row r="61" spans="1:28" ht="12.75">
      <c r="A61" s="302">
        <v>52</v>
      </c>
      <c r="B61" s="506">
        <v>654275</v>
      </c>
      <c r="C61" s="500">
        <v>636554</v>
      </c>
      <c r="D61" s="460">
        <f t="shared" si="8"/>
        <v>53046.17</v>
      </c>
      <c r="E61" s="457"/>
      <c r="F61" s="460">
        <v>0</v>
      </c>
      <c r="G61" s="460">
        <v>0</v>
      </c>
      <c r="H61" s="462"/>
      <c r="I61" s="462"/>
      <c r="J61" s="484"/>
      <c r="K61" s="457"/>
      <c r="L61" s="460">
        <v>0</v>
      </c>
      <c r="M61" s="460">
        <v>0</v>
      </c>
      <c r="N61" s="460">
        <f t="shared" si="6"/>
        <v>0</v>
      </c>
      <c r="O61" s="457"/>
      <c r="P61" s="460">
        <v>0</v>
      </c>
      <c r="Q61" s="460">
        <v>0</v>
      </c>
      <c r="R61" s="460">
        <f t="shared" si="7"/>
        <v>0</v>
      </c>
      <c r="T61" s="500"/>
      <c r="AB61" s="506"/>
    </row>
    <row r="62" spans="1:28" ht="12.75">
      <c r="A62" s="302">
        <v>53</v>
      </c>
      <c r="B62" s="506">
        <v>728317</v>
      </c>
      <c r="C62" s="500">
        <v>698913</v>
      </c>
      <c r="D62" s="460">
        <f t="shared" si="8"/>
        <v>58242.75</v>
      </c>
      <c r="E62" s="457"/>
      <c r="F62" s="460">
        <v>0</v>
      </c>
      <c r="G62" s="460">
        <v>0</v>
      </c>
      <c r="H62" s="462"/>
      <c r="I62" s="462"/>
      <c r="J62" s="484"/>
      <c r="K62" s="457"/>
      <c r="L62" s="460">
        <v>0</v>
      </c>
      <c r="M62" s="460">
        <v>0</v>
      </c>
      <c r="N62" s="460">
        <f t="shared" si="6"/>
        <v>0</v>
      </c>
      <c r="O62" s="457"/>
      <c r="P62" s="460">
        <v>0</v>
      </c>
      <c r="Q62" s="460">
        <v>0</v>
      </c>
      <c r="R62" s="460">
        <f t="shared" si="7"/>
        <v>0</v>
      </c>
      <c r="T62" s="500"/>
      <c r="AB62" s="506"/>
    </row>
    <row r="63" spans="1:28" ht="12.75">
      <c r="A63" s="302">
        <v>54</v>
      </c>
      <c r="B63" s="506">
        <v>820598</v>
      </c>
      <c r="C63" s="500">
        <v>782046</v>
      </c>
      <c r="D63" s="460">
        <f t="shared" si="8"/>
        <v>65170.5</v>
      </c>
      <c r="E63" s="457"/>
      <c r="F63" s="460">
        <v>0</v>
      </c>
      <c r="G63" s="460">
        <v>0</v>
      </c>
      <c r="H63" s="462"/>
      <c r="I63" s="462"/>
      <c r="J63" s="484"/>
      <c r="K63" s="457"/>
      <c r="L63" s="460">
        <v>0</v>
      </c>
      <c r="M63" s="460">
        <v>0</v>
      </c>
      <c r="N63" s="460">
        <f t="shared" si="6"/>
        <v>0</v>
      </c>
      <c r="O63" s="457"/>
      <c r="P63" s="460">
        <v>0</v>
      </c>
      <c r="Q63" s="460">
        <v>0</v>
      </c>
      <c r="R63" s="460">
        <f t="shared" si="7"/>
        <v>0</v>
      </c>
      <c r="T63" s="500"/>
      <c r="AB63" s="506"/>
    </row>
    <row r="64" spans="1:28" ht="12.75">
      <c r="A64" s="302">
        <v>55</v>
      </c>
      <c r="B64" s="507">
        <v>920525</v>
      </c>
      <c r="C64" s="501">
        <v>881973</v>
      </c>
      <c r="D64" s="460">
        <f t="shared" si="8"/>
        <v>73497.75</v>
      </c>
      <c r="E64" s="457"/>
      <c r="F64" s="460">
        <v>0</v>
      </c>
      <c r="G64" s="460">
        <v>0</v>
      </c>
      <c r="H64" s="462"/>
      <c r="I64" s="462"/>
      <c r="J64" s="484"/>
      <c r="K64" s="457"/>
      <c r="L64" s="460">
        <v>0</v>
      </c>
      <c r="M64" s="460">
        <v>0</v>
      </c>
      <c r="N64" s="460">
        <f t="shared" si="6"/>
        <v>0</v>
      </c>
      <c r="O64" s="457"/>
      <c r="P64" s="460">
        <v>0</v>
      </c>
      <c r="Q64" s="460">
        <v>0</v>
      </c>
      <c r="R64" s="460">
        <f t="shared" si="7"/>
        <v>0</v>
      </c>
      <c r="T64" s="501"/>
      <c r="AB64" s="507"/>
    </row>
    <row r="65" spans="1:28" ht="13.5" thickBot="1">
      <c r="A65" s="302">
        <v>56</v>
      </c>
      <c r="B65" s="508">
        <v>1032582</v>
      </c>
      <c r="C65" s="502">
        <v>994027</v>
      </c>
      <c r="D65" s="460">
        <f t="shared" si="8"/>
        <v>82835.58</v>
      </c>
      <c r="E65" s="457"/>
      <c r="F65" s="460">
        <v>0</v>
      </c>
      <c r="G65" s="460">
        <v>0</v>
      </c>
      <c r="H65" s="462"/>
      <c r="I65" s="462"/>
      <c r="J65" s="484"/>
      <c r="K65" s="457"/>
      <c r="L65" s="460">
        <v>0</v>
      </c>
      <c r="M65" s="460">
        <v>0</v>
      </c>
      <c r="N65" s="460">
        <f t="shared" si="6"/>
        <v>0</v>
      </c>
      <c r="O65" s="457"/>
      <c r="P65" s="460">
        <v>0</v>
      </c>
      <c r="Q65" s="460">
        <v>0</v>
      </c>
      <c r="R65" s="460">
        <f t="shared" si="7"/>
        <v>0</v>
      </c>
      <c r="T65" s="502"/>
      <c r="AB65" s="508"/>
    </row>
    <row r="66" spans="1:28" ht="13.5" thickTop="1">
      <c r="B66" s="482"/>
      <c r="C66" s="482"/>
      <c r="D66" s="482"/>
      <c r="E66" s="457"/>
      <c r="F66" s="460"/>
      <c r="G66" s="460"/>
      <c r="H66" s="457"/>
      <c r="I66" s="460"/>
      <c r="J66" s="460"/>
      <c r="K66" s="457"/>
      <c r="L66" s="460"/>
      <c r="M66" s="460"/>
      <c r="N66" s="460"/>
      <c r="O66" s="457"/>
      <c r="P66" s="460"/>
      <c r="Q66" s="460"/>
      <c r="R66" s="460"/>
    </row>
    <row r="67" spans="1:28" ht="12.75">
      <c r="B67" s="457"/>
      <c r="C67" s="457"/>
      <c r="D67" s="457"/>
      <c r="E67" s="457"/>
      <c r="F67" s="457"/>
      <c r="G67" s="457"/>
      <c r="H67" s="457"/>
      <c r="I67" s="457"/>
      <c r="J67" s="457"/>
      <c r="K67" s="457"/>
      <c r="L67" s="457"/>
      <c r="M67" s="457"/>
      <c r="N67" s="457"/>
      <c r="O67" s="457"/>
      <c r="P67" s="457"/>
      <c r="Q67" s="457"/>
      <c r="R67" s="457"/>
    </row>
    <row r="68" spans="1:28" ht="12.75">
      <c r="B68" s="457"/>
      <c r="C68" s="457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457"/>
    </row>
    <row r="69" spans="1:28" ht="12.75">
      <c r="B69" s="457"/>
      <c r="C69" s="457"/>
      <c r="D69" s="457"/>
      <c r="E69" s="457"/>
      <c r="F69" s="457"/>
      <c r="G69" s="457"/>
      <c r="H69" s="457"/>
      <c r="I69" s="457"/>
      <c r="J69" s="457"/>
      <c r="K69" s="457"/>
      <c r="L69" s="457"/>
      <c r="M69" s="457"/>
      <c r="N69" s="457"/>
      <c r="O69" s="457"/>
      <c r="P69" s="457"/>
      <c r="Q69" s="457"/>
      <c r="R69" s="457"/>
    </row>
  </sheetData>
  <sheetProtection password="CF28" sheet="1"/>
  <phoneticPr fontId="0" type="noConversion"/>
  <printOptions gridLines="1" gridLinesSet="0"/>
  <pageMargins left="0.78740157480314965" right="0.78740157480314965" top="0.59055118110236227" bottom="0.98425196850393704" header="0.31496062992125984" footer="0.51181102362204722"/>
  <pageSetup paperSize="9" orientation="portrait" r:id="rId1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9"/>
  <dimension ref="A1:E150"/>
  <sheetViews>
    <sheetView workbookViewId="0">
      <selection activeCell="B11" sqref="B11"/>
    </sheetView>
  </sheetViews>
  <sheetFormatPr defaultRowHeight="11.25"/>
  <cols>
    <col min="1" max="1" width="15.33203125" style="1" customWidth="1"/>
    <col min="2" max="8" width="10.83203125" style="1" customWidth="1"/>
    <col min="9" max="16384" width="9.33203125" style="1"/>
  </cols>
  <sheetData>
    <row r="1" spans="1:5">
      <c r="A1" s="2" t="s">
        <v>157</v>
      </c>
      <c r="B1" s="3"/>
      <c r="C1" s="3"/>
      <c r="D1" s="3"/>
      <c r="E1" s="4"/>
    </row>
    <row r="2" spans="1:5">
      <c r="A2" s="6"/>
      <c r="B2" s="5"/>
      <c r="C2" s="5"/>
      <c r="D2" s="5"/>
      <c r="E2" s="7"/>
    </row>
    <row r="3" spans="1:5">
      <c r="A3" s="86"/>
      <c r="B3" s="86" t="s">
        <v>127</v>
      </c>
      <c r="C3" s="87"/>
      <c r="D3" s="87"/>
      <c r="E3" s="7"/>
    </row>
    <row r="4" spans="1:5">
      <c r="A4" s="86" t="s">
        <v>102</v>
      </c>
      <c r="B4" s="87" t="s">
        <v>234</v>
      </c>
      <c r="C4" s="87"/>
      <c r="D4" s="88"/>
      <c r="E4" s="7"/>
    </row>
    <row r="5" spans="1:5">
      <c r="A5" s="6">
        <v>0</v>
      </c>
      <c r="B5" s="5">
        <f>StartkolonneStandard</f>
        <v>4</v>
      </c>
      <c r="C5" s="89"/>
      <c r="D5" s="89"/>
      <c r="E5" s="7"/>
    </row>
    <row r="6" spans="1:5">
      <c r="A6" s="6">
        <v>1</v>
      </c>
      <c r="B6" s="5">
        <f>StartkolonneAC1</f>
        <v>7</v>
      </c>
      <c r="C6" s="89"/>
      <c r="D6" s="89"/>
      <c r="E6" s="7"/>
    </row>
    <row r="7" spans="1:5">
      <c r="A7" s="6">
        <v>2</v>
      </c>
      <c r="B7" s="5">
        <f>StartkolonneAC2</f>
        <v>2006</v>
      </c>
      <c r="C7" s="89"/>
      <c r="D7" s="89"/>
      <c r="E7" s="7"/>
    </row>
    <row r="8" spans="1:5">
      <c r="A8" s="6">
        <v>3</v>
      </c>
      <c r="B8" s="5">
        <f>StartkolonneSundAlm</f>
        <v>14</v>
      </c>
      <c r="C8" s="89"/>
      <c r="D8" s="89"/>
      <c r="E8" s="7"/>
    </row>
    <row r="9" spans="1:5">
      <c r="A9" s="6">
        <v>4</v>
      </c>
      <c r="B9" s="5">
        <f>StartkolonneSundLeder</f>
        <v>18</v>
      </c>
      <c r="C9" s="89"/>
      <c r="D9" s="89"/>
      <c r="E9" s="7"/>
    </row>
    <row r="10" spans="1:5">
      <c r="A10" s="6">
        <v>5</v>
      </c>
      <c r="B10" s="5" t="e">
        <f>StartkolonneKostfagl</f>
        <v>#REF!</v>
      </c>
      <c r="C10" s="89"/>
      <c r="D10" s="89"/>
      <c r="E10" s="7"/>
    </row>
    <row r="11" spans="1:5">
      <c r="A11" s="6">
        <v>6</v>
      </c>
      <c r="B11" s="5">
        <f>StartkolonneStandard+1</f>
        <v>5</v>
      </c>
      <c r="C11" s="5"/>
      <c r="D11" s="89"/>
      <c r="E11" s="7"/>
    </row>
    <row r="12" spans="1:5">
      <c r="A12" s="8"/>
      <c r="B12" s="9"/>
      <c r="C12" s="9"/>
      <c r="D12" s="9"/>
      <c r="E12" s="85"/>
    </row>
    <row r="13" spans="1:5">
      <c r="A13" s="6"/>
      <c r="B13" s="5"/>
      <c r="C13" s="5"/>
      <c r="D13" s="5"/>
      <c r="E13" s="5"/>
    </row>
    <row r="14" spans="1:5">
      <c r="A14" s="2" t="s">
        <v>265</v>
      </c>
      <c r="B14" s="3"/>
      <c r="C14" s="3"/>
      <c r="D14" s="3"/>
      <c r="E14" s="4"/>
    </row>
    <row r="15" spans="1:5">
      <c r="A15" s="86"/>
      <c r="B15" s="272" t="s">
        <v>127</v>
      </c>
      <c r="C15" s="87"/>
      <c r="D15" s="87"/>
      <c r="E15" s="7"/>
    </row>
    <row r="16" spans="1:5">
      <c r="A16" s="86" t="s">
        <v>102</v>
      </c>
      <c r="B16" s="87"/>
      <c r="C16" s="87"/>
      <c r="D16" s="88"/>
      <c r="E16" s="7"/>
    </row>
    <row r="17" spans="1:5">
      <c r="A17" s="6">
        <v>0</v>
      </c>
      <c r="B17" s="5">
        <f>StartkolonneStandard-2</f>
        <v>2</v>
      </c>
      <c r="C17" s="89"/>
      <c r="D17" s="89"/>
      <c r="E17" s="7"/>
    </row>
    <row r="18" spans="1:5">
      <c r="A18" s="6">
        <v>1</v>
      </c>
      <c r="B18" s="5">
        <f>StartkolonneAC1-1</f>
        <v>6</v>
      </c>
      <c r="C18" s="89"/>
      <c r="D18" s="89"/>
      <c r="E18" s="7"/>
    </row>
    <row r="19" spans="1:5">
      <c r="A19" s="6">
        <v>2</v>
      </c>
      <c r="B19" s="5">
        <f>StartkolonneAC2-1</f>
        <v>2005</v>
      </c>
      <c r="C19" s="89"/>
      <c r="D19" s="89"/>
      <c r="E19" s="7"/>
    </row>
    <row r="20" spans="1:5">
      <c r="A20" s="5">
        <v>3</v>
      </c>
      <c r="B20" s="5">
        <f>StartkolonneSundAlm-2</f>
        <v>12</v>
      </c>
      <c r="C20" s="89"/>
      <c r="D20" s="89"/>
      <c r="E20" s="7"/>
    </row>
    <row r="21" spans="1:5">
      <c r="A21" s="6">
        <v>4</v>
      </c>
      <c r="B21" s="5">
        <f>StartkolonneSundLeder-2</f>
        <v>16</v>
      </c>
      <c r="C21" s="89"/>
      <c r="D21" s="89"/>
      <c r="E21" s="7"/>
    </row>
    <row r="22" spans="1:5">
      <c r="A22" s="6">
        <v>5</v>
      </c>
      <c r="B22" s="5" t="e">
        <f>StartkolonneKostfagl-2</f>
        <v>#REF!</v>
      </c>
      <c r="C22" s="89"/>
      <c r="D22" s="89"/>
      <c r="E22" s="7"/>
    </row>
    <row r="23" spans="1:5">
      <c r="A23" s="6">
        <v>6</v>
      </c>
      <c r="B23" s="5">
        <f>StartkolonneStandard-2</f>
        <v>2</v>
      </c>
      <c r="C23" s="89"/>
      <c r="D23" s="89"/>
      <c r="E23" s="7"/>
    </row>
    <row r="24" spans="1:5">
      <c r="A24" s="8"/>
      <c r="B24" s="9"/>
      <c r="C24" s="9"/>
      <c r="D24" s="273"/>
      <c r="E24" s="85"/>
    </row>
    <row r="25" spans="1:5">
      <c r="A25" s="6"/>
      <c r="B25" s="5"/>
      <c r="C25" s="5"/>
      <c r="D25" s="89"/>
      <c r="E25" s="5"/>
    </row>
    <row r="26" spans="1:5">
      <c r="A26" s="6"/>
      <c r="B26" s="5"/>
      <c r="C26" s="5"/>
      <c r="D26" s="89"/>
      <c r="E26" s="5"/>
    </row>
    <row r="27" spans="1:5">
      <c r="A27" s="6"/>
      <c r="B27" s="5"/>
      <c r="C27" s="5"/>
      <c r="D27" s="5"/>
      <c r="E27" s="5"/>
    </row>
    <row r="28" spans="1:5">
      <c r="A28" s="2" t="s">
        <v>268</v>
      </c>
      <c r="B28" s="3"/>
      <c r="C28" s="3"/>
      <c r="D28" s="3"/>
      <c r="E28" s="4"/>
    </row>
    <row r="29" spans="1:5">
      <c r="A29" s="6"/>
      <c r="B29" s="5"/>
      <c r="C29" s="5"/>
      <c r="D29" s="5"/>
      <c r="E29" s="7"/>
    </row>
    <row r="30" spans="1:5">
      <c r="A30" s="6"/>
      <c r="B30" s="5" t="s">
        <v>102</v>
      </c>
      <c r="C30" s="5" t="s">
        <v>103</v>
      </c>
      <c r="D30" s="5"/>
      <c r="E30" s="7"/>
    </row>
    <row r="31" spans="1:5">
      <c r="A31" s="6"/>
      <c r="B31" s="5"/>
      <c r="C31" s="5" t="s">
        <v>234</v>
      </c>
      <c r="D31" s="5"/>
      <c r="E31" s="7"/>
    </row>
    <row r="32" spans="1:5">
      <c r="A32" s="6"/>
      <c r="B32" s="5"/>
      <c r="C32" s="5"/>
      <c r="D32" s="5"/>
      <c r="E32" s="7"/>
    </row>
    <row r="33" spans="1:5">
      <c r="A33" s="6" t="s">
        <v>243</v>
      </c>
      <c r="B33" s="5">
        <f>LønkodeRåd1</f>
        <v>0</v>
      </c>
      <c r="C33" s="84">
        <f>VLOOKUP(LønkodeRåd1,TabelLøntabel,2,1)</f>
        <v>4</v>
      </c>
      <c r="D33" s="5"/>
      <c r="E33" s="7"/>
    </row>
    <row r="34" spans="1:5">
      <c r="A34" s="6" t="s">
        <v>244</v>
      </c>
      <c r="B34" s="5">
        <f>LønkodeRåd2</f>
        <v>0</v>
      </c>
      <c r="C34" s="84">
        <f>VLOOKUP(LønkodeRåd2,TabelLøntabel,2,1)</f>
        <v>4</v>
      </c>
      <c r="D34" s="5"/>
      <c r="E34" s="7"/>
    </row>
    <row r="35" spans="1:5">
      <c r="A35" s="6"/>
      <c r="B35" s="5"/>
      <c r="C35" s="5"/>
      <c r="D35" s="5"/>
      <c r="E35" s="7"/>
    </row>
    <row r="36" spans="1:5">
      <c r="A36" s="6" t="s">
        <v>261</v>
      </c>
      <c r="B36" s="5">
        <f>LønkodeRåd2Time</f>
        <v>0</v>
      </c>
      <c r="C36" s="84">
        <f>VLOOKUP(LønkodeRåd2Time,TabelLøntabel,2,1)</f>
        <v>4</v>
      </c>
      <c r="D36" s="5"/>
      <c r="E36" s="7"/>
    </row>
    <row r="37" spans="1:5">
      <c r="A37" s="6"/>
      <c r="B37" s="5"/>
      <c r="C37" s="5"/>
      <c r="D37" s="5"/>
      <c r="E37" s="7"/>
    </row>
    <row r="38" spans="1:5">
      <c r="A38" s="6" t="s">
        <v>30</v>
      </c>
      <c r="B38" s="5">
        <f>LønkodeUd</f>
        <v>0</v>
      </c>
      <c r="C38" s="84">
        <f>VLOOKUP(LønkodeUd,TabelLøntabel,2,1)</f>
        <v>4</v>
      </c>
      <c r="D38" s="84"/>
      <c r="E38" s="220"/>
    </row>
    <row r="39" spans="1:5">
      <c r="A39" s="6" t="s">
        <v>156</v>
      </c>
      <c r="B39" s="5">
        <f>LønkodeNyLøn</f>
        <v>0</v>
      </c>
      <c r="C39" s="84">
        <f>VLOOKUP(LønkodeNyLøn,TabelLøntabel,2,1)</f>
        <v>4</v>
      </c>
      <c r="D39" s="5"/>
      <c r="E39" s="220"/>
    </row>
    <row r="40" spans="1:5">
      <c r="A40" s="6"/>
      <c r="B40" s="5"/>
      <c r="C40" s="84"/>
      <c r="D40" s="84"/>
      <c r="E40" s="220"/>
    </row>
    <row r="41" spans="1:5">
      <c r="A41" s="6"/>
      <c r="B41" s="5"/>
      <c r="C41" s="84"/>
      <c r="D41" s="84"/>
      <c r="E41" s="7"/>
    </row>
    <row r="42" spans="1:5">
      <c r="A42" s="6" t="s">
        <v>124</v>
      </c>
      <c r="B42" s="5"/>
      <c r="C42" s="84"/>
      <c r="D42" s="84"/>
      <c r="E42" s="7"/>
    </row>
    <row r="43" spans="1:5">
      <c r="A43" s="6"/>
      <c r="B43" s="5">
        <v>0</v>
      </c>
      <c r="C43" s="5">
        <f>StartkolonneStandard</f>
        <v>4</v>
      </c>
      <c r="D43" s="5"/>
      <c r="E43" s="7"/>
    </row>
    <row r="44" spans="1:5">
      <c r="A44" s="6"/>
      <c r="B44" s="5">
        <v>1</v>
      </c>
      <c r="C44" s="5">
        <f>StartkolonneAC1</f>
        <v>7</v>
      </c>
      <c r="D44" s="5"/>
      <c r="E44" s="7"/>
    </row>
    <row r="45" spans="1:5">
      <c r="A45" s="6"/>
      <c r="B45" s="5">
        <v>2</v>
      </c>
      <c r="C45" s="5">
        <f>StartkolonneAC2</f>
        <v>2006</v>
      </c>
      <c r="D45" s="5"/>
      <c r="E45" s="7"/>
    </row>
    <row r="46" spans="1:5">
      <c r="A46" s="6"/>
      <c r="B46" s="5">
        <v>3</v>
      </c>
      <c r="C46" s="5">
        <f>StartkolonneSundAlm</f>
        <v>14</v>
      </c>
      <c r="D46" s="5"/>
      <c r="E46" s="7"/>
    </row>
    <row r="47" spans="1:5">
      <c r="A47" s="6"/>
      <c r="B47" s="5">
        <v>4</v>
      </c>
      <c r="C47" s="5">
        <f>StartkolonneSundLeder</f>
        <v>18</v>
      </c>
      <c r="D47" s="5"/>
      <c r="E47" s="7"/>
    </row>
    <row r="48" spans="1:5">
      <c r="A48" s="6"/>
      <c r="B48" s="5">
        <v>5</v>
      </c>
      <c r="C48" s="5" t="e">
        <f>StartkolonneKostfagl</f>
        <v>#REF!</v>
      </c>
      <c r="D48" s="5"/>
      <c r="E48" s="7"/>
    </row>
    <row r="49" spans="1:5">
      <c r="A49" s="6"/>
      <c r="B49" s="5">
        <v>5</v>
      </c>
      <c r="C49" s="5">
        <f>StartkolonneStandard+1</f>
        <v>5</v>
      </c>
      <c r="D49" s="5"/>
      <c r="E49" s="7"/>
    </row>
    <row r="50" spans="1:5">
      <c r="A50" s="8"/>
      <c r="B50" s="9"/>
      <c r="C50" s="9"/>
      <c r="D50" s="9"/>
      <c r="E50" s="85"/>
    </row>
    <row r="54" spans="1:5">
      <c r="A54" s="2" t="s">
        <v>124</v>
      </c>
      <c r="B54" s="3"/>
      <c r="C54" s="3"/>
      <c r="D54" s="3"/>
      <c r="E54" s="4"/>
    </row>
    <row r="55" spans="1:5">
      <c r="A55" s="2" t="s">
        <v>106</v>
      </c>
      <c r="B55" s="5"/>
      <c r="C55" s="5"/>
      <c r="D55" s="5"/>
      <c r="E55" s="7"/>
    </row>
    <row r="56" spans="1:5">
      <c r="A56" s="6"/>
      <c r="B56" s="5"/>
      <c r="C56" s="5"/>
      <c r="D56" s="90"/>
      <c r="E56" s="7"/>
    </row>
    <row r="57" spans="1:5">
      <c r="A57" s="6">
        <v>0</v>
      </c>
      <c r="B57" s="5" t="s">
        <v>7</v>
      </c>
      <c r="C57" s="5"/>
      <c r="D57" s="5"/>
      <c r="E57" s="7"/>
    </row>
    <row r="58" spans="1:5">
      <c r="A58" s="6">
        <v>1</v>
      </c>
      <c r="B58" s="5" t="s">
        <v>65</v>
      </c>
      <c r="C58" s="5"/>
      <c r="D58" s="5"/>
      <c r="E58" s="7"/>
    </row>
    <row r="59" spans="1:5">
      <c r="A59" s="6">
        <v>2</v>
      </c>
      <c r="B59" s="5" t="s">
        <v>72</v>
      </c>
      <c r="C59" s="5"/>
      <c r="D59" s="5"/>
      <c r="E59" s="7"/>
    </row>
    <row r="60" spans="1:5">
      <c r="A60" s="6">
        <v>3</v>
      </c>
      <c r="B60" s="5" t="s">
        <v>57</v>
      </c>
      <c r="C60" s="90"/>
      <c r="D60" s="5"/>
      <c r="E60" s="7"/>
    </row>
    <row r="61" spans="1:5">
      <c r="A61" s="6">
        <v>4</v>
      </c>
      <c r="B61" s="90" t="s">
        <v>58</v>
      </c>
      <c r="C61" s="90"/>
      <c r="D61" s="5"/>
      <c r="E61" s="7"/>
    </row>
    <row r="62" spans="1:5">
      <c r="A62" s="6">
        <v>5</v>
      </c>
      <c r="B62" s="90" t="s">
        <v>195</v>
      </c>
      <c r="C62" s="5"/>
      <c r="D62" s="5"/>
      <c r="E62" s="7"/>
    </row>
    <row r="63" spans="1:5">
      <c r="A63" s="6">
        <v>6</v>
      </c>
      <c r="B63" s="90" t="s">
        <v>7</v>
      </c>
      <c r="C63" s="5"/>
      <c r="D63" s="5"/>
      <c r="E63" s="7"/>
    </row>
    <row r="64" spans="1:5">
      <c r="A64" s="8"/>
      <c r="B64" s="9"/>
      <c r="C64" s="9"/>
      <c r="D64" s="9"/>
      <c r="E64" s="85"/>
    </row>
    <row r="66" spans="1:5">
      <c r="A66" s="2" t="s">
        <v>124</v>
      </c>
      <c r="B66" s="3"/>
      <c r="C66" s="3"/>
      <c r="D66" s="3"/>
      <c r="E66" s="4"/>
    </row>
    <row r="67" spans="1:5">
      <c r="A67" s="6" t="s">
        <v>137</v>
      </c>
      <c r="B67" s="5"/>
      <c r="C67" s="5"/>
      <c r="D67" s="5"/>
      <c r="E67" s="7"/>
    </row>
    <row r="68" spans="1:5">
      <c r="A68" s="6"/>
      <c r="B68" s="5"/>
      <c r="C68" s="5"/>
      <c r="D68" s="5"/>
      <c r="E68" s="7"/>
    </row>
    <row r="69" spans="1:5">
      <c r="A69" s="6" t="s">
        <v>128</v>
      </c>
      <c r="B69" s="5" t="s">
        <v>130</v>
      </c>
      <c r="C69" s="5" t="s">
        <v>138</v>
      </c>
      <c r="D69" s="5"/>
      <c r="E69" s="7"/>
    </row>
    <row r="70" spans="1:5">
      <c r="A70" s="6">
        <v>0</v>
      </c>
      <c r="B70" s="5" t="s">
        <v>7</v>
      </c>
      <c r="C70" s="5">
        <v>0</v>
      </c>
      <c r="D70" s="5"/>
      <c r="E70" s="7"/>
    </row>
    <row r="71" spans="1:5">
      <c r="A71" s="6">
        <v>1</v>
      </c>
      <c r="B71" s="5" t="s">
        <v>65</v>
      </c>
      <c r="C71" s="5">
        <v>1</v>
      </c>
      <c r="D71" s="5"/>
      <c r="E71" s="7"/>
    </row>
    <row r="72" spans="1:5">
      <c r="A72" s="6">
        <v>2</v>
      </c>
      <c r="B72" s="5" t="s">
        <v>72</v>
      </c>
      <c r="C72" s="5">
        <v>1</v>
      </c>
      <c r="D72" s="5"/>
      <c r="E72" s="7"/>
    </row>
    <row r="73" spans="1:5">
      <c r="A73" s="6">
        <v>3</v>
      </c>
      <c r="B73" s="5" t="s">
        <v>57</v>
      </c>
      <c r="C73" s="5">
        <v>0</v>
      </c>
      <c r="D73" s="5"/>
      <c r="E73" s="7"/>
    </row>
    <row r="74" spans="1:5">
      <c r="A74" s="6">
        <v>4</v>
      </c>
      <c r="B74" s="90" t="s">
        <v>58</v>
      </c>
      <c r="C74" s="5">
        <v>0</v>
      </c>
      <c r="D74" s="5"/>
      <c r="E74" s="7"/>
    </row>
    <row r="75" spans="1:5">
      <c r="A75" s="6">
        <v>5</v>
      </c>
      <c r="B75" s="90" t="s">
        <v>175</v>
      </c>
      <c r="C75" s="5">
        <v>1</v>
      </c>
      <c r="D75" s="5"/>
      <c r="E75" s="7"/>
    </row>
    <row r="76" spans="1:5">
      <c r="A76" s="6">
        <v>6</v>
      </c>
      <c r="B76" s="90" t="s">
        <v>7</v>
      </c>
      <c r="C76" s="5">
        <v>0</v>
      </c>
      <c r="D76" s="5"/>
      <c r="E76" s="7"/>
    </row>
    <row r="77" spans="1:5">
      <c r="A77" s="8"/>
      <c r="B77" s="9"/>
      <c r="C77" s="9"/>
      <c r="D77" s="9"/>
      <c r="E77" s="85"/>
    </row>
    <row r="79" spans="1:5">
      <c r="A79" s="2" t="s">
        <v>124</v>
      </c>
      <c r="B79" s="3"/>
      <c r="C79" s="3"/>
      <c r="D79" s="3"/>
      <c r="E79" s="4"/>
    </row>
    <row r="80" spans="1:5">
      <c r="A80" s="6" t="s">
        <v>142</v>
      </c>
      <c r="B80" s="5"/>
      <c r="C80" s="5"/>
      <c r="D80" s="5"/>
      <c r="E80" s="7"/>
    </row>
    <row r="81" spans="1:5">
      <c r="A81" s="6"/>
      <c r="B81" s="5"/>
      <c r="C81" s="5"/>
      <c r="D81" s="5"/>
      <c r="E81" s="7"/>
    </row>
    <row r="82" spans="1:5">
      <c r="A82" s="6" t="s">
        <v>128</v>
      </c>
      <c r="B82" s="5" t="s">
        <v>130</v>
      </c>
      <c r="C82" s="5" t="s">
        <v>143</v>
      </c>
      <c r="D82" s="5"/>
      <c r="E82" s="7"/>
    </row>
    <row r="83" spans="1:5">
      <c r="A83" s="6">
        <v>0</v>
      </c>
      <c r="B83" s="5" t="s">
        <v>7</v>
      </c>
      <c r="C83" s="5">
        <v>0</v>
      </c>
      <c r="D83" s="5"/>
      <c r="E83" s="7"/>
    </row>
    <row r="84" spans="1:5">
      <c r="A84" s="6">
        <v>1</v>
      </c>
      <c r="B84" s="5" t="s">
        <v>65</v>
      </c>
      <c r="C84" s="5">
        <v>0</v>
      </c>
      <c r="D84" s="5"/>
      <c r="E84" s="7"/>
    </row>
    <row r="85" spans="1:5">
      <c r="A85" s="6">
        <v>2</v>
      </c>
      <c r="B85" s="5" t="s">
        <v>72</v>
      </c>
      <c r="C85" s="5">
        <v>0</v>
      </c>
      <c r="D85" s="5"/>
      <c r="E85" s="7"/>
    </row>
    <row r="86" spans="1:5">
      <c r="A86" s="6">
        <v>3</v>
      </c>
      <c r="B86" s="5" t="s">
        <v>57</v>
      </c>
      <c r="C86" s="5">
        <v>1.95</v>
      </c>
      <c r="D86" s="5"/>
      <c r="E86" s="7"/>
    </row>
    <row r="87" spans="1:5">
      <c r="A87" s="6">
        <v>4</v>
      </c>
      <c r="B87" s="90" t="s">
        <v>58</v>
      </c>
      <c r="C87" s="5">
        <v>1.95</v>
      </c>
      <c r="D87" s="5"/>
      <c r="E87" s="7"/>
    </row>
    <row r="88" spans="1:5">
      <c r="A88" s="6">
        <v>5</v>
      </c>
      <c r="B88" s="90" t="s">
        <v>175</v>
      </c>
      <c r="C88" s="5">
        <v>0</v>
      </c>
      <c r="D88" s="5"/>
      <c r="E88" s="7"/>
    </row>
    <row r="89" spans="1:5">
      <c r="A89" s="6">
        <v>6</v>
      </c>
      <c r="B89" s="90" t="s">
        <v>7</v>
      </c>
      <c r="C89" s="5">
        <v>0</v>
      </c>
      <c r="D89" s="5"/>
      <c r="E89" s="7"/>
    </row>
    <row r="90" spans="1:5">
      <c r="A90" s="8"/>
      <c r="B90" s="9"/>
      <c r="C90" s="9"/>
      <c r="D90" s="9"/>
      <c r="E90" s="85"/>
    </row>
    <row r="92" spans="1:5">
      <c r="A92" s="2" t="s">
        <v>124</v>
      </c>
      <c r="B92" s="3"/>
      <c r="C92" s="3"/>
      <c r="D92" s="3"/>
      <c r="E92" s="4"/>
    </row>
    <row r="93" spans="1:5">
      <c r="A93" s="6" t="s">
        <v>169</v>
      </c>
      <c r="B93" s="5"/>
      <c r="C93" s="5"/>
      <c r="D93" s="5"/>
      <c r="E93" s="7"/>
    </row>
    <row r="94" spans="1:5">
      <c r="A94" s="6"/>
      <c r="B94" s="5"/>
      <c r="C94" s="5"/>
      <c r="D94" s="5"/>
      <c r="E94" s="7"/>
    </row>
    <row r="95" spans="1:5">
      <c r="A95" s="6" t="s">
        <v>128</v>
      </c>
      <c r="B95" s="5" t="s">
        <v>130</v>
      </c>
      <c r="C95" s="5" t="s">
        <v>170</v>
      </c>
      <c r="D95" s="5"/>
      <c r="E95" s="7"/>
    </row>
    <row r="96" spans="1:5">
      <c r="A96" s="6">
        <v>0</v>
      </c>
      <c r="B96" s="5" t="s">
        <v>7</v>
      </c>
      <c r="C96" s="236">
        <v>1</v>
      </c>
      <c r="D96" s="5"/>
      <c r="E96" s="7"/>
    </row>
    <row r="97" spans="1:5">
      <c r="A97" s="6">
        <v>1</v>
      </c>
      <c r="B97" s="5" t="s">
        <v>65</v>
      </c>
      <c r="C97" s="236">
        <v>1</v>
      </c>
      <c r="D97" s="5"/>
      <c r="E97" s="7"/>
    </row>
    <row r="98" spans="1:5">
      <c r="A98" s="6">
        <v>2</v>
      </c>
      <c r="B98" s="5" t="s">
        <v>72</v>
      </c>
      <c r="C98" s="236">
        <v>1</v>
      </c>
      <c r="D98" s="5"/>
      <c r="E98" s="7"/>
    </row>
    <row r="99" spans="1:5">
      <c r="A99" s="6">
        <v>3</v>
      </c>
      <c r="B99" s="5" t="s">
        <v>57</v>
      </c>
      <c r="C99" s="236">
        <v>1</v>
      </c>
      <c r="D99" s="5"/>
      <c r="E99" s="7"/>
    </row>
    <row r="100" spans="1:5">
      <c r="A100" s="6">
        <v>4</v>
      </c>
      <c r="B100" s="90" t="s">
        <v>58</v>
      </c>
      <c r="C100" s="236">
        <v>1</v>
      </c>
      <c r="D100" s="5"/>
      <c r="E100" s="7"/>
    </row>
    <row r="101" spans="1:5">
      <c r="A101" s="6">
        <v>5</v>
      </c>
      <c r="B101" s="90" t="s">
        <v>175</v>
      </c>
      <c r="C101" s="236">
        <v>1</v>
      </c>
      <c r="D101" s="5"/>
      <c r="E101" s="7"/>
    </row>
    <row r="102" spans="1:5">
      <c r="A102" s="6">
        <v>6</v>
      </c>
      <c r="B102" s="90" t="s">
        <v>7</v>
      </c>
      <c r="C102" s="236">
        <v>1</v>
      </c>
      <c r="D102" s="5"/>
      <c r="E102" s="7"/>
    </row>
    <row r="103" spans="1:5">
      <c r="A103" s="8"/>
      <c r="B103" s="9"/>
      <c r="C103" s="9"/>
      <c r="D103" s="9"/>
      <c r="E103" s="85"/>
    </row>
    <row r="105" spans="1:5">
      <c r="A105" s="2" t="s">
        <v>124</v>
      </c>
      <c r="B105" s="3"/>
      <c r="C105" s="3"/>
      <c r="D105" s="3"/>
      <c r="E105" s="4"/>
    </row>
    <row r="106" spans="1:5">
      <c r="A106" s="6" t="s">
        <v>136</v>
      </c>
      <c r="B106" s="5"/>
      <c r="C106" s="5"/>
      <c r="D106" s="5"/>
      <c r="E106" s="7"/>
    </row>
    <row r="107" spans="1:5">
      <c r="A107" s="6"/>
      <c r="B107" s="5"/>
      <c r="C107" s="5"/>
      <c r="D107" s="5"/>
      <c r="E107" s="7"/>
    </row>
    <row r="108" spans="1:5">
      <c r="A108" s="6" t="s">
        <v>128</v>
      </c>
      <c r="B108" s="5" t="s">
        <v>130</v>
      </c>
      <c r="C108" s="5" t="s">
        <v>143</v>
      </c>
      <c r="D108" s="5"/>
      <c r="E108" s="7"/>
    </row>
    <row r="109" spans="1:5">
      <c r="A109" s="6">
        <v>0</v>
      </c>
      <c r="B109" s="5" t="s">
        <v>7</v>
      </c>
      <c r="C109" s="5">
        <v>0</v>
      </c>
      <c r="D109" s="5"/>
      <c r="E109" s="7"/>
    </row>
    <row r="110" spans="1:5">
      <c r="A110" s="6">
        <v>1</v>
      </c>
      <c r="B110" s="5" t="s">
        <v>65</v>
      </c>
      <c r="C110" s="5">
        <v>-1</v>
      </c>
      <c r="D110" s="5"/>
      <c r="E110" s="7"/>
    </row>
    <row r="111" spans="1:5">
      <c r="A111" s="6">
        <v>2</v>
      </c>
      <c r="B111" s="5" t="s">
        <v>72</v>
      </c>
      <c r="C111" s="5">
        <v>1</v>
      </c>
      <c r="D111" s="5"/>
      <c r="E111" s="7"/>
    </row>
    <row r="112" spans="1:5">
      <c r="A112" s="6">
        <v>3</v>
      </c>
      <c r="B112" s="5" t="s">
        <v>57</v>
      </c>
      <c r="C112" s="5">
        <v>-1</v>
      </c>
      <c r="D112" s="5"/>
      <c r="E112" s="7"/>
    </row>
    <row r="113" spans="1:5">
      <c r="A113" s="6">
        <v>4</v>
      </c>
      <c r="B113" s="90" t="s">
        <v>58</v>
      </c>
      <c r="C113" s="5">
        <v>1</v>
      </c>
      <c r="D113" s="5"/>
      <c r="E113" s="7"/>
    </row>
    <row r="114" spans="1:5">
      <c r="A114" s="6">
        <v>5</v>
      </c>
      <c r="B114" s="90" t="s">
        <v>175</v>
      </c>
      <c r="C114" s="5">
        <v>-1</v>
      </c>
      <c r="D114" s="5"/>
      <c r="E114" s="7"/>
    </row>
    <row r="115" spans="1:5">
      <c r="A115" s="6">
        <v>6</v>
      </c>
      <c r="B115" s="90" t="s">
        <v>7</v>
      </c>
      <c r="C115" s="5">
        <v>0</v>
      </c>
      <c r="D115" s="5"/>
      <c r="E115" s="7"/>
    </row>
    <row r="116" spans="1:5">
      <c r="A116" s="8"/>
      <c r="B116" s="9"/>
      <c r="C116" s="9"/>
      <c r="D116" s="9"/>
      <c r="E116" s="85"/>
    </row>
    <row r="118" spans="1:5">
      <c r="A118" s="2" t="s">
        <v>262</v>
      </c>
      <c r="B118" s="3"/>
      <c r="C118" s="3"/>
      <c r="D118" s="3"/>
      <c r="E118" s="4"/>
    </row>
    <row r="119" spans="1:5">
      <c r="A119" s="6"/>
      <c r="B119" s="5"/>
      <c r="C119" s="5"/>
      <c r="D119" s="5"/>
      <c r="E119" s="7"/>
    </row>
    <row r="120" spans="1:5">
      <c r="A120" s="6"/>
      <c r="B120" s="5" t="s">
        <v>102</v>
      </c>
      <c r="C120" s="5" t="s">
        <v>245</v>
      </c>
      <c r="D120" s="5" t="s">
        <v>120</v>
      </c>
      <c r="E120" s="7"/>
    </row>
    <row r="121" spans="1:5">
      <c r="A121" s="6" t="s">
        <v>243</v>
      </c>
      <c r="B121" s="5">
        <f>LønkodeRåd1</f>
        <v>0</v>
      </c>
      <c r="C121" s="5"/>
      <c r="D121" s="5"/>
      <c r="E121" s="7"/>
    </row>
    <row r="122" spans="1:5">
      <c r="A122" s="6" t="s">
        <v>244</v>
      </c>
      <c r="B122" s="5">
        <f>LønkodeRåd2</f>
        <v>0</v>
      </c>
      <c r="C122" s="5"/>
      <c r="D122" s="5"/>
      <c r="E122" s="7"/>
    </row>
    <row r="123" spans="1:5">
      <c r="A123" s="6" t="s">
        <v>261</v>
      </c>
      <c r="B123" s="5">
        <f>LønkodeRåd2Time</f>
        <v>0</v>
      </c>
      <c r="C123" s="5"/>
      <c r="D123" s="5"/>
      <c r="E123" s="7"/>
    </row>
    <row r="124" spans="1:5">
      <c r="A124" s="8"/>
      <c r="B124" s="9"/>
      <c r="C124" s="9"/>
      <c r="D124" s="9"/>
      <c r="E124" s="85"/>
    </row>
    <row r="126" spans="1:5">
      <c r="A126" s="2" t="s">
        <v>124</v>
      </c>
      <c r="B126" s="3"/>
      <c r="C126" s="3"/>
      <c r="D126" s="3"/>
      <c r="E126" s="4"/>
    </row>
    <row r="127" spans="1:5">
      <c r="A127" s="6" t="s">
        <v>257</v>
      </c>
      <c r="B127" s="5"/>
      <c r="C127" s="5"/>
      <c r="D127" s="5"/>
      <c r="E127" s="7"/>
    </row>
    <row r="128" spans="1:5">
      <c r="A128" s="6"/>
      <c r="B128" s="5"/>
      <c r="C128" s="5"/>
      <c r="D128" s="5"/>
      <c r="E128" s="7"/>
    </row>
    <row r="129" spans="1:5">
      <c r="A129" s="6" t="s">
        <v>128</v>
      </c>
      <c r="B129" s="5" t="s">
        <v>130</v>
      </c>
      <c r="C129" s="5" t="s">
        <v>129</v>
      </c>
      <c r="D129" s="5"/>
      <c r="E129" s="7"/>
    </row>
    <row r="130" spans="1:5">
      <c r="A130" s="6">
        <v>0</v>
      </c>
      <c r="B130" s="5" t="s">
        <v>7</v>
      </c>
      <c r="C130" s="5">
        <v>0</v>
      </c>
      <c r="D130" s="5"/>
      <c r="E130" s="7"/>
    </row>
    <row r="131" spans="1:5">
      <c r="A131" s="6">
        <v>1</v>
      </c>
      <c r="B131" s="5" t="s">
        <v>65</v>
      </c>
      <c r="C131" s="5">
        <v>0</v>
      </c>
      <c r="D131" s="5"/>
      <c r="E131" s="7"/>
    </row>
    <row r="132" spans="1:5">
      <c r="A132" s="6">
        <v>2</v>
      </c>
      <c r="B132" s="5" t="s">
        <v>72</v>
      </c>
      <c r="C132" s="5">
        <v>0</v>
      </c>
      <c r="D132" s="5"/>
      <c r="E132" s="7"/>
    </row>
    <row r="133" spans="1:5">
      <c r="A133" s="6">
        <v>3</v>
      </c>
      <c r="B133" s="5" t="s">
        <v>57</v>
      </c>
      <c r="C133" s="5">
        <v>1</v>
      </c>
      <c r="D133" s="5"/>
      <c r="E133" s="7"/>
    </row>
    <row r="134" spans="1:5">
      <c r="A134" s="6">
        <v>4</v>
      </c>
      <c r="B134" s="90" t="s">
        <v>58</v>
      </c>
      <c r="C134" s="5">
        <v>1</v>
      </c>
      <c r="D134" s="5"/>
      <c r="E134" s="7"/>
    </row>
    <row r="135" spans="1:5">
      <c r="A135" s="6">
        <v>5</v>
      </c>
      <c r="B135" s="90" t="s">
        <v>175</v>
      </c>
      <c r="C135" s="5">
        <v>1</v>
      </c>
      <c r="D135" s="5"/>
      <c r="E135" s="7"/>
    </row>
    <row r="136" spans="1:5">
      <c r="A136" s="6">
        <v>6</v>
      </c>
      <c r="B136" s="90" t="s">
        <v>7</v>
      </c>
      <c r="C136" s="5">
        <v>0</v>
      </c>
      <c r="D136" s="5"/>
      <c r="E136" s="7"/>
    </row>
    <row r="137" spans="1:5">
      <c r="A137" s="8"/>
      <c r="B137" s="9"/>
      <c r="C137" s="9"/>
      <c r="D137" s="9"/>
      <c r="E137" s="85"/>
    </row>
    <row r="139" spans="1:5">
      <c r="A139" s="2" t="s">
        <v>271</v>
      </c>
      <c r="B139" s="3"/>
      <c r="C139" s="3"/>
      <c r="D139" s="3"/>
      <c r="E139" s="4"/>
    </row>
    <row r="140" spans="1:5">
      <c r="A140" s="6" t="s">
        <v>272</v>
      </c>
      <c r="B140" s="5"/>
      <c r="C140" s="5"/>
      <c r="D140" s="5"/>
      <c r="E140" s="7"/>
    </row>
    <row r="141" spans="1:5">
      <c r="A141" s="6"/>
      <c r="B141" s="5" t="s">
        <v>280</v>
      </c>
      <c r="C141" s="5"/>
      <c r="D141" s="5"/>
      <c r="E141" s="7"/>
    </row>
    <row r="142" spans="1:5">
      <c r="A142" s="86" t="s">
        <v>102</v>
      </c>
      <c r="B142" s="5" t="s">
        <v>281</v>
      </c>
      <c r="C142" s="5" t="s">
        <v>279</v>
      </c>
      <c r="D142" s="5"/>
      <c r="E142" s="7"/>
    </row>
    <row r="143" spans="1:5">
      <c r="A143" s="6">
        <v>0</v>
      </c>
      <c r="B143" s="283">
        <f>procentregulering</f>
        <v>31.779800000000002</v>
      </c>
      <c r="C143" s="284">
        <f>PctRegNiveau</f>
        <v>36616</v>
      </c>
      <c r="D143" s="5"/>
      <c r="E143" s="7"/>
    </row>
    <row r="144" spans="1:5">
      <c r="A144" s="6">
        <v>1</v>
      </c>
      <c r="B144" s="283">
        <f>procentregulering</f>
        <v>31.779800000000002</v>
      </c>
      <c r="C144" s="284">
        <f>PctRegNiveau</f>
        <v>36616</v>
      </c>
      <c r="D144" s="5"/>
      <c r="E144" s="7"/>
    </row>
    <row r="145" spans="1:5">
      <c r="A145" s="6">
        <v>2</v>
      </c>
      <c r="B145" s="283">
        <f>procentregulering</f>
        <v>31.779800000000002</v>
      </c>
      <c r="C145" s="284">
        <f>PctRegNiveau</f>
        <v>36616</v>
      </c>
      <c r="D145" s="5"/>
      <c r="E145" s="7"/>
    </row>
    <row r="146" spans="1:5">
      <c r="A146" s="6">
        <v>3</v>
      </c>
      <c r="B146" s="283">
        <f>ProcentreguleringSund</f>
        <v>15.5825</v>
      </c>
      <c r="C146" s="284">
        <f>PctRegNiveauSund</f>
        <v>38718</v>
      </c>
      <c r="D146" s="5"/>
      <c r="E146" s="7"/>
    </row>
    <row r="147" spans="1:5">
      <c r="A147" s="6">
        <v>4</v>
      </c>
      <c r="B147" s="283">
        <f>ProcentreguleringSund</f>
        <v>15.5825</v>
      </c>
      <c r="C147" s="284">
        <f>PctRegNiveauSund</f>
        <v>38718</v>
      </c>
      <c r="D147" s="5"/>
      <c r="E147" s="7"/>
    </row>
    <row r="148" spans="1:5">
      <c r="A148" s="6">
        <v>5</v>
      </c>
      <c r="B148" s="283">
        <f>ProcentreguleringSund</f>
        <v>15.5825</v>
      </c>
      <c r="C148" s="284">
        <f>PctRegNiveauSund</f>
        <v>38718</v>
      </c>
      <c r="D148" s="5"/>
      <c r="E148" s="7"/>
    </row>
    <row r="149" spans="1:5">
      <c r="A149" s="6">
        <v>6</v>
      </c>
      <c r="B149" s="283">
        <v>0</v>
      </c>
      <c r="C149" s="284">
        <f>PctRegNiveau</f>
        <v>36616</v>
      </c>
      <c r="D149" s="5"/>
      <c r="E149" s="7"/>
    </row>
    <row r="150" spans="1:5">
      <c r="A150" s="8"/>
      <c r="B150" s="9"/>
      <c r="C150" s="9"/>
      <c r="D150" s="9"/>
      <c r="E150" s="85"/>
    </row>
  </sheetData>
  <sheetProtection password="CF28" sheet="1" objects="1" scenarios="1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91</vt:i4>
      </vt:variant>
    </vt:vector>
  </HeadingPairs>
  <TitlesOfParts>
    <vt:vector size="102" baseType="lpstr">
      <vt:lpstr>Afgang Tilgang</vt:lpstr>
      <vt:lpstr>Nyansættelse af medarbejder</vt:lpstr>
      <vt:lpstr>Ændring af medarbejders løn</vt:lpstr>
      <vt:lpstr>Timeløn</vt:lpstr>
      <vt:lpstr>Udgiftsberegning</vt:lpstr>
      <vt:lpstr>Puljebelastning</vt:lpstr>
      <vt:lpstr>Beregn tillæg</vt:lpstr>
      <vt:lpstr>lønninger</vt:lpstr>
      <vt:lpstr>SEM</vt:lpstr>
      <vt:lpstr>Diverse</vt:lpstr>
      <vt:lpstr>Vejledning</vt:lpstr>
      <vt:lpstr>'Nyansættelse af medarbejder'!BeskGradNyLøn</vt:lpstr>
      <vt:lpstr>BeskGradNyLøn</vt:lpstr>
      <vt:lpstr>BeskGradRåd1</vt:lpstr>
      <vt:lpstr>BeskGradRåd2</vt:lpstr>
      <vt:lpstr>BeskGradRåd2Time</vt:lpstr>
      <vt:lpstr>Dato1</vt:lpstr>
      <vt:lpstr>Dato2</vt:lpstr>
      <vt:lpstr>Dato3</vt:lpstr>
      <vt:lpstr>Dato4</vt:lpstr>
      <vt:lpstr>DatoLønind</vt:lpstr>
      <vt:lpstr>DatoLønInd2</vt:lpstr>
      <vt:lpstr>DatoLønindSund</vt:lpstr>
      <vt:lpstr>DatoLønindSund2</vt:lpstr>
      <vt:lpstr>DatoSund1</vt:lpstr>
      <vt:lpstr>DatoSund2</vt:lpstr>
      <vt:lpstr>DatoSund3</vt:lpstr>
      <vt:lpstr>DatoSund4</vt:lpstr>
      <vt:lpstr>FraTil</vt:lpstr>
      <vt:lpstr>JNferiepenge</vt:lpstr>
      <vt:lpstr>JNovergang</vt:lpstr>
      <vt:lpstr>'Nyansættelse af medarbejder'!LønkodeNyLøn</vt:lpstr>
      <vt:lpstr>LønkodeNyLøn</vt:lpstr>
      <vt:lpstr>LønkodeRåd1</vt:lpstr>
      <vt:lpstr>LønkodeRåd2</vt:lpstr>
      <vt:lpstr>LønkodeRåd2Time</vt:lpstr>
      <vt:lpstr>LønkodeTillæg</vt:lpstr>
      <vt:lpstr>LønkodeUd</vt:lpstr>
      <vt:lpstr>LønPr</vt:lpstr>
      <vt:lpstr>LønPrDato</vt:lpstr>
      <vt:lpstr>LønPrStor</vt:lpstr>
      <vt:lpstr>MaksBeløb</vt:lpstr>
      <vt:lpstr>MaxPensionskodeAfgang</vt:lpstr>
      <vt:lpstr>MaxPensionskodeTilgang</vt:lpstr>
      <vt:lpstr>MaxPensionskodeTime</vt:lpstr>
      <vt:lpstr>MaxProcentForvPulje</vt:lpstr>
      <vt:lpstr>NævnerRåd1</vt:lpstr>
      <vt:lpstr>NævnerRåd2</vt:lpstr>
      <vt:lpstr>NævnerRåd2Time</vt:lpstr>
      <vt:lpstr>NævnerUd</vt:lpstr>
      <vt:lpstr>PctRegNiveau</vt:lpstr>
      <vt:lpstr>PctRegNiveauSund</vt:lpstr>
      <vt:lpstr>'Nyansættelse af medarbejder'!PctRegNyLøn</vt:lpstr>
      <vt:lpstr>PctRegNyLøn</vt:lpstr>
      <vt:lpstr>PctRegRåd1</vt:lpstr>
      <vt:lpstr>PctRegRåd2</vt:lpstr>
      <vt:lpstr>PctregTillæg</vt:lpstr>
      <vt:lpstr>PctRegTime</vt:lpstr>
      <vt:lpstr>PctRegUd</vt:lpstr>
      <vt:lpstr>PctRegUdDato</vt:lpstr>
      <vt:lpstr>Pensionsprocentafgang</vt:lpstr>
      <vt:lpstr>'Nyansættelse af medarbejder'!PensionsProcentNyLøn</vt:lpstr>
      <vt:lpstr>PensionsProcentNyLøn</vt:lpstr>
      <vt:lpstr>PensionsProcentTilgang</vt:lpstr>
      <vt:lpstr>PensionsProcentTilgangTime</vt:lpstr>
      <vt:lpstr>PensionsprocentUdgift</vt:lpstr>
      <vt:lpstr>procentregulering</vt:lpstr>
      <vt:lpstr>ProcentreguleringSund</vt:lpstr>
      <vt:lpstr>Puljeår</vt:lpstr>
      <vt:lpstr>StartkolonneAC1</vt:lpstr>
      <vt:lpstr>StartkolonneAC2</vt:lpstr>
      <vt:lpstr>StartkolonneNyLøn</vt:lpstr>
      <vt:lpstr>StartKolonneRåd1</vt:lpstr>
      <vt:lpstr>StartKolonneRåd2</vt:lpstr>
      <vt:lpstr>StartKolonneRåd2Time</vt:lpstr>
      <vt:lpstr>StartkolonneStandard</vt:lpstr>
      <vt:lpstr>StartkolonneSundAlm</vt:lpstr>
      <vt:lpstr>StartkolonneSundLeder</vt:lpstr>
      <vt:lpstr>StartKolonneUdLøn</vt:lpstr>
      <vt:lpstr>TabelLøn</vt:lpstr>
      <vt:lpstr>TabelLønninger</vt:lpstr>
      <vt:lpstr>TabelLøntabel</vt:lpstr>
      <vt:lpstr>TabelNettoløn</vt:lpstr>
      <vt:lpstr>tabeloverenskomstnr</vt:lpstr>
      <vt:lpstr>TabelPctReg</vt:lpstr>
      <vt:lpstr>TabelPensgivLøn</vt:lpstr>
      <vt:lpstr>TabelPuljePension</vt:lpstr>
      <vt:lpstr>TabelRammeforbrug</vt:lpstr>
      <vt:lpstr>Tabelændringskode</vt:lpstr>
      <vt:lpstr>'Nyansættelse af medarbejder'!TællerNyLøn</vt:lpstr>
      <vt:lpstr>TællerNyLøn</vt:lpstr>
      <vt:lpstr>TællerRåd1</vt:lpstr>
      <vt:lpstr>TællerRåd2</vt:lpstr>
      <vt:lpstr>TællerRåd2Time</vt:lpstr>
      <vt:lpstr>TællerUd</vt:lpstr>
      <vt:lpstr>'Afgang Tilgang'!Udskriftsområde</vt:lpstr>
      <vt:lpstr>'Nyansættelse af medarbejder'!Udskriftsområde</vt:lpstr>
      <vt:lpstr>Puljebelastning!Udskriftsområde</vt:lpstr>
      <vt:lpstr>Timeløn!Udskriftsområde</vt:lpstr>
      <vt:lpstr>'Ændring af medarbejders løn'!Udskriftsområde</vt:lpstr>
      <vt:lpstr>Puljebelastning!Udskriftstitler</vt:lpstr>
      <vt:lpstr>UdskrivLinie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Sv.E. Madsen</dc:creator>
  <cp:lastModifiedBy>Henrik Malmqvist</cp:lastModifiedBy>
  <cp:lastPrinted>2015-12-10T13:52:45Z</cp:lastPrinted>
  <dcterms:created xsi:type="dcterms:W3CDTF">2000-11-08T14:03:43Z</dcterms:created>
  <dcterms:modified xsi:type="dcterms:W3CDTF">2016-01-21T13:49:39Z</dcterms:modified>
</cp:coreProperties>
</file>